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105" windowWidth="12120" windowHeight="7650" firstSheet="2" activeTab="2"/>
  </bookViews>
  <sheets>
    <sheet name="Коефіцієнти" sheetId="21" state="hidden" r:id="rId1"/>
    <sheet name="Територія ДС НТ" sheetId="19" state="hidden" r:id="rId2"/>
    <sheet name="ОСНОВНА ЧАСТИНА" sheetId="25" r:id="rId3"/>
  </sheets>
  <definedNames>
    <definedName name="_xlnm._FilterDatabase" localSheetId="1" hidden="1">'Територія ДС НТ'!$A$2:$B$2</definedName>
    <definedName name="_xlnm.Print_Titles" localSheetId="1">'Територія ДС НТ'!$1:$2</definedName>
    <definedName name="_xlnm.Print_Area" localSheetId="1">'Територія ДС НТ'!$A$1:$B$2</definedName>
  </definedNames>
  <calcPr calcId="125725"/>
</workbook>
</file>

<file path=xl/calcChain.xml><?xml version="1.0" encoding="utf-8"?>
<calcChain xmlns="http://schemas.openxmlformats.org/spreadsheetml/2006/main">
  <c r="D163" i="21"/>
  <c r="E205" l="1"/>
  <c r="B205"/>
  <c r="E198"/>
  <c r="B198"/>
  <c r="C172" l="1"/>
  <c r="B172"/>
  <c r="G165"/>
  <c r="G164"/>
  <c r="E163"/>
  <c r="C251"/>
  <c r="B256"/>
  <c r="C272"/>
  <c r="C271"/>
  <c r="C270"/>
  <c r="C269"/>
  <c r="C268"/>
  <c r="C267"/>
  <c r="C266"/>
  <c r="C265"/>
  <c r="B272"/>
  <c r="B271"/>
  <c r="B270"/>
  <c r="B269"/>
  <c r="B268"/>
  <c r="B267"/>
  <c r="B266"/>
  <c r="B265"/>
  <c r="B165"/>
  <c r="B371"/>
  <c r="B365"/>
  <c r="B359"/>
  <c r="B352"/>
  <c r="B347"/>
  <c r="B341"/>
  <c r="B324"/>
  <c r="B294"/>
  <c r="B319"/>
  <c r="N4"/>
  <c r="M12"/>
  <c r="B288"/>
  <c r="B262"/>
  <c r="B236"/>
  <c r="B235"/>
  <c r="B308"/>
  <c r="B282"/>
  <c r="B251"/>
  <c r="C308"/>
  <c r="C282"/>
  <c r="C273"/>
  <c r="B273"/>
  <c r="E220"/>
  <c r="C213"/>
  <c r="G166"/>
  <c r="H66"/>
  <c r="H64"/>
  <c r="H62"/>
  <c r="H60"/>
  <c r="H58"/>
  <c r="C66"/>
  <c r="C64"/>
  <c r="C62"/>
  <c r="C60"/>
  <c r="C58"/>
  <c r="C51"/>
  <c r="B53"/>
  <c r="B52"/>
  <c r="B51"/>
  <c r="C3" i="19"/>
  <c r="E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B18" i="21"/>
  <c r="B34"/>
  <c r="B72"/>
  <c r="B77"/>
  <c r="H81"/>
  <c r="B82"/>
  <c r="H82"/>
  <c r="B83"/>
  <c r="H83"/>
  <c r="B84"/>
  <c r="H84"/>
  <c r="B85"/>
  <c r="B86"/>
  <c r="B87"/>
  <c r="B88"/>
  <c r="C88"/>
  <c r="H88"/>
  <c r="B89"/>
  <c r="B90"/>
  <c r="B91" s="1"/>
  <c r="C90"/>
  <c r="B147"/>
  <c r="C147"/>
  <c r="B159"/>
  <c r="C159"/>
  <c r="C163"/>
  <c r="F163"/>
  <c r="G163"/>
  <c r="G167"/>
  <c r="B164"/>
  <c r="B167"/>
  <c r="B166"/>
  <c r="B180"/>
  <c r="B181"/>
  <c r="B182" s="1"/>
  <c r="B187"/>
  <c r="B192"/>
  <c r="B213"/>
  <c r="B220"/>
  <c r="B225"/>
  <c r="B242"/>
  <c r="B54"/>
  <c r="B237" l="1"/>
  <c r="D117"/>
  <c r="D118"/>
  <c r="B176"/>
  <c r="J96"/>
  <c r="J98" s="1"/>
  <c r="B118" s="1"/>
  <c r="H67"/>
  <c r="B229"/>
  <c r="D39"/>
  <c r="B39"/>
  <c r="B42" s="1"/>
  <c r="E232"/>
  <c r="B40"/>
  <c r="B230"/>
  <c r="F3" i="19"/>
  <c r="D40" i="21"/>
  <c r="A229"/>
  <c r="B231"/>
  <c r="H90"/>
  <c r="B232" l="1"/>
  <c r="B117"/>
  <c r="B119" s="1"/>
  <c r="I97"/>
  <c r="J100" s="1"/>
  <c r="B175"/>
  <c r="B177" s="1"/>
  <c r="D119" l="1"/>
</calcChain>
</file>

<file path=xl/sharedStrings.xml><?xml version="1.0" encoding="utf-8"?>
<sst xmlns="http://schemas.openxmlformats.org/spreadsheetml/2006/main" count="518" uniqueCount="380">
  <si>
    <t>F</t>
  </si>
  <si>
    <t>G</t>
  </si>
  <si>
    <t>H</t>
  </si>
  <si>
    <t>Клас Страхувальника на початок дії договору страхування</t>
  </si>
  <si>
    <t>Коефіцієнт страхових тарифів</t>
  </si>
  <si>
    <t>КЛ1</t>
  </si>
  <si>
    <t>КЛ2</t>
  </si>
  <si>
    <t>КЛ3</t>
  </si>
  <si>
    <t>Термін експлуатації ТЗ</t>
  </si>
  <si>
    <t>Значення коефіцієнту</t>
  </si>
  <si>
    <t xml:space="preserve">без врахування зносу </t>
  </si>
  <si>
    <t>з врахуванням зносу</t>
  </si>
  <si>
    <t>Кількість застрахованих ТЗ</t>
  </si>
  <si>
    <t>A</t>
  </si>
  <si>
    <t>B1</t>
  </si>
  <si>
    <t>B2</t>
  </si>
  <si>
    <t>C1</t>
  </si>
  <si>
    <t>C2</t>
  </si>
  <si>
    <t>C3</t>
  </si>
  <si>
    <t>D1</t>
  </si>
  <si>
    <t>D2</t>
  </si>
  <si>
    <t>E1</t>
  </si>
  <si>
    <t>E2</t>
  </si>
  <si>
    <t>Клас ТЗ</t>
  </si>
  <si>
    <t>л/а, мотоцикли</t>
  </si>
  <si>
    <t>інші ТЗ</t>
  </si>
  <si>
    <t>Коефіцієнт</t>
  </si>
  <si>
    <t>Франшиза за ризиками  А1 - А5, %</t>
  </si>
  <si>
    <t>100% одразу</t>
  </si>
  <si>
    <t>Термін, місяців</t>
  </si>
  <si>
    <t>К-т</t>
  </si>
  <si>
    <t>так</t>
  </si>
  <si>
    <t>ні</t>
  </si>
  <si>
    <t>фізична особа</t>
  </si>
  <si>
    <t>до 500 грн. - для ЛА, до 1000 грн. - для інших ТЗ</t>
  </si>
  <si>
    <t>до 2000 грн. - для ЛА, до 3000 грн. - для інших ТЗ</t>
  </si>
  <si>
    <t>юридична особа</t>
  </si>
  <si>
    <t>КЛ0</t>
  </si>
  <si>
    <t>КЛ4</t>
  </si>
  <si>
    <t>КЛ5</t>
  </si>
  <si>
    <t>КЛ6</t>
  </si>
  <si>
    <t>Територія</t>
  </si>
  <si>
    <t>АР Крим, всі міста та р-ни</t>
  </si>
  <si>
    <t>Вінницька обл., м.Вінниця, Вінницький р-н</t>
  </si>
  <si>
    <t>Дніпропетрівська обл., м.Дніпродзержинськ, Дніпродзержинськ</t>
  </si>
  <si>
    <t>Дніпропетрівська обл., м.Нікополь, Нікопольський р-н</t>
  </si>
  <si>
    <t>Дніпропетрівська обл., м.Павлоград, Павлоградський р-н</t>
  </si>
  <si>
    <t>Донецька обл., м.Донецьк</t>
  </si>
  <si>
    <t>Донецька обл., м.Шахтарськ, Шахтарський р-н</t>
  </si>
  <si>
    <t>Донецька обл., м.Горлівка</t>
  </si>
  <si>
    <t>Донецька обл., м.Єнакієве, Єнакієве</t>
  </si>
  <si>
    <t>Донецька обл., м.Краматорськ</t>
  </si>
  <si>
    <t>Донецька обл., м.Макіївка</t>
  </si>
  <si>
    <t>Донецька обл., м.Маріуполь</t>
  </si>
  <si>
    <t>Донецька обл., м.Слов'янськ, Слов'янський р-н</t>
  </si>
  <si>
    <t>Донецька обл., всі міста та р-ни крім вказаних вище</t>
  </si>
  <si>
    <t>Житомирська обл., м.Житомир, Житомирський р-н</t>
  </si>
  <si>
    <t>Житомирська обл., всі міста та р-ни крім м.Житомир, Житомирський р-н</t>
  </si>
  <si>
    <t>Закарпатська обл., м.Ужгород, Ужгородський р-н</t>
  </si>
  <si>
    <t>Закарпатська обл., всі міста та р-ни крім м.Ужгород, Ужгородський р-н</t>
  </si>
  <si>
    <t>Запорізька обл., м.Запоріжжя, Запорізький р-н</t>
  </si>
  <si>
    <t>Запорізька обл., м.Бердянськ, Бердянський р-н</t>
  </si>
  <si>
    <t xml:space="preserve">Запорізька обл., всі міста та р-ни крім вказаних вище </t>
  </si>
  <si>
    <t xml:space="preserve">Івано-Франківська обл., всі міста та р-ни крім вказаних вище </t>
  </si>
  <si>
    <t>Київська обл., м.Бориспіль, Бориспільський р-н</t>
  </si>
  <si>
    <t>Київська обл., м.Васильків, Васильківський р-н</t>
  </si>
  <si>
    <t>Київська обл., м.Вишгород, Вишгородський р-н</t>
  </si>
  <si>
    <t>Київська обл., м.Бровари, Броварський р-н</t>
  </si>
  <si>
    <t>Київська обл., м. Ірпінь, Ірпіньський р-н</t>
  </si>
  <si>
    <t>Київська обл., м.Обухів, Обухівський р-н</t>
  </si>
  <si>
    <t>Київська обл., всі міста та р-ни області крім вказаних вище</t>
  </si>
  <si>
    <t>Кіровоградська обл., м.Кировоград, Кіровоградський р-н</t>
  </si>
  <si>
    <t>Кіровоградська обл., всі міста та р-ни області крім м.Кировоград, Кіровоградський р-н</t>
  </si>
  <si>
    <t>Луганська обл., м. Луганськ</t>
  </si>
  <si>
    <t>Луганська обл., м.Лисичанськ,</t>
  </si>
  <si>
    <t>Луганська обл., м.Станично-Луганське, Станично-Луганський р-н</t>
  </si>
  <si>
    <t xml:space="preserve">Луганська обл., м. Сєверодонецьк </t>
  </si>
  <si>
    <t>Луганська обл., всі міста та р-ни області крім вказаних вище</t>
  </si>
  <si>
    <t>Львівська обл., м.Львів</t>
  </si>
  <si>
    <t>Львівська обл., м. Пустомити, Пустомитівський р-н</t>
  </si>
  <si>
    <t>Львівська обл., всі міста та р-ни крім вказаних вище</t>
  </si>
  <si>
    <t>Миколаївська обл., м.Миколаїв, Миколаївський р-н</t>
  </si>
  <si>
    <t>Миколаївська обл., всі міста та р-ни крім м.Миколаїв, Миколаївський р-н</t>
  </si>
  <si>
    <t>Одеська обл., м. Одеса</t>
  </si>
  <si>
    <t>Одеська обл., всі міста та р-ни крім вказаних вище</t>
  </si>
  <si>
    <t>Полтавська обл., м.Полтава, Полтавський р-н</t>
  </si>
  <si>
    <t>Полтавська обл., м.Кременчуг, Кременчуцький р-н</t>
  </si>
  <si>
    <t>Полтавська обл., всі міста та р-ни, крім вказаних вище</t>
  </si>
  <si>
    <t>Сумська обл., м.Суми, Сумський р-н</t>
  </si>
  <si>
    <t>Сумська обл., всі міста та р-ни крім м.Суми, Сумський р-н</t>
  </si>
  <si>
    <t>Тернопільська обл., м.Тернопіль, Тернопільський р-н</t>
  </si>
  <si>
    <t>Харківська обл., всі міста та р-ни крім вказаних вище</t>
  </si>
  <si>
    <t>Херсонська обл., м. Херсон</t>
  </si>
  <si>
    <t>Херсонська обл., м.Білозерка, Білозерський р-н</t>
  </si>
  <si>
    <t>Херсонська обл., всі міста та р-ни крім вказаних вище</t>
  </si>
  <si>
    <t>Чернівецька обл., всі міста та р-ни крім м.Чернівці</t>
  </si>
  <si>
    <t>Хмельницька обл., м.Хмельницький, Хмельницький р-н</t>
  </si>
  <si>
    <t>Черкаська обл., м.Черкаси, Черкаський р-н</t>
  </si>
  <si>
    <t>Черкаська обл., всі міста та р-ни крім м.Черкаси, Черкаський р-н</t>
  </si>
  <si>
    <t>Хмельницька обл., всі міста та р-ни області крім м.Хмельницький, Хмельницький р-н</t>
  </si>
  <si>
    <t>Чернігівська обл., м.Чернігів, Чернігівський р-н</t>
  </si>
  <si>
    <t>Чернівецька обл., м.Чернівці</t>
  </si>
  <si>
    <t>Чернігівська обл., всі міста та р-ни крім м.Чернігів, Чернігівський р-н</t>
  </si>
  <si>
    <t>Відповідно до тарифної політики легкові автомобілі розділенні на наступні класи:</t>
  </si>
  <si>
    <t>Мотоцикли</t>
  </si>
  <si>
    <t>Спеціальна техніка</t>
  </si>
  <si>
    <t xml:space="preserve">Сільгосп. техніка навісна та причіпна </t>
  </si>
  <si>
    <t>ВА повною масою до 4 000 кг (включно)</t>
  </si>
  <si>
    <t>ВА повною масою більше 4 000 кг до 6 500 кг (включно)</t>
  </si>
  <si>
    <t>ВА повною масою більше 6 500 кг.</t>
  </si>
  <si>
    <t>Автобуси: внутрішні міські перевезення по затверджених маршрутах</t>
  </si>
  <si>
    <t>Автобуси: інші, ніж внутрішні міські перевезення по затверджених маршрутах</t>
  </si>
  <si>
    <t>Причіп, напівпричіп: повною масою до 2 000 кг.</t>
  </si>
  <si>
    <t>Причіп, напівпричіп: повною масою понад 2 000 кг.</t>
  </si>
  <si>
    <t>Клас по закінченню дії договору страхування з врахуванням кількості заявлених страхових випадків</t>
  </si>
  <si>
    <t xml:space="preserve">0 випадків </t>
  </si>
  <si>
    <r>
      <rPr>
        <sz val="10"/>
        <rFont val="Arial Narrow"/>
        <family val="2"/>
        <charset val="204"/>
      </rPr>
      <t>1) більше</t>
    </r>
    <r>
      <rPr>
        <b/>
        <sz val="10"/>
        <rFont val="Arial Narrow"/>
        <family val="2"/>
        <charset val="204"/>
      </rPr>
      <t xml:space="preserve"> 2</t>
    </r>
    <r>
      <rPr>
        <sz val="10"/>
        <rFont val="Arial Narrow"/>
        <family val="2"/>
        <charset val="204"/>
      </rPr>
      <t xml:space="preserve"> випадків;
2) незалежно від кількості випадків, якщо загальна сума відшкодування </t>
    </r>
    <r>
      <rPr>
        <b/>
        <sz val="10"/>
        <rFont val="Arial Narrow"/>
        <family val="2"/>
        <charset val="204"/>
      </rPr>
      <t>більше</t>
    </r>
    <r>
      <rPr>
        <sz val="10"/>
        <rFont val="Arial Narrow"/>
        <family val="2"/>
        <charset val="204"/>
      </rPr>
      <t xml:space="preserve"> сплаченого страхового платежу</t>
    </r>
  </si>
  <si>
    <r>
      <t xml:space="preserve"> 1-2 </t>
    </r>
    <r>
      <rPr>
        <sz val="10"/>
        <rFont val="Arial Narrow"/>
        <family val="2"/>
        <charset val="204"/>
      </rPr>
      <t xml:space="preserve">випадки відшкодування </t>
    </r>
    <r>
      <rPr>
        <b/>
        <sz val="10"/>
        <rFont val="Arial Narrow"/>
        <family val="2"/>
        <charset val="204"/>
      </rPr>
      <t>&lt;</t>
    </r>
    <r>
      <rPr>
        <sz val="10"/>
        <rFont val="Arial Narrow"/>
        <family val="2"/>
        <charset val="204"/>
      </rPr>
      <t xml:space="preserve"> страхового платежу</t>
    </r>
  </si>
  <si>
    <t>Виплата відшкодування за деталі, вузли та агрегати ТЗ, що підлягають заміні:</t>
  </si>
  <si>
    <t>до 1 року</t>
  </si>
  <si>
    <t>1 - до 2 років</t>
  </si>
  <si>
    <t>2 - до 3 років</t>
  </si>
  <si>
    <t>3 - до 4 років</t>
  </si>
  <si>
    <t>4 - до 5 років</t>
  </si>
  <si>
    <t>5 - до 6 років</t>
  </si>
  <si>
    <t>6 - до 7 років</t>
  </si>
  <si>
    <t>7 - до 8 років</t>
  </si>
  <si>
    <t>8 - до 9 років</t>
  </si>
  <si>
    <t>9 - до 10 років</t>
  </si>
  <si>
    <t>10 - до 11 років</t>
  </si>
  <si>
    <t>11 - до 12 років</t>
  </si>
  <si>
    <t>12 - до 13 років</t>
  </si>
  <si>
    <t>13 - до 14 років</t>
  </si>
  <si>
    <t>14 - до 15 років</t>
  </si>
  <si>
    <t>15 - до 16 років</t>
  </si>
  <si>
    <t>Особа</t>
  </si>
  <si>
    <t>ТЗ у ПрАТ "СК "Перша" страхується вперше</t>
  </si>
  <si>
    <t>ЛА: легкові автомобілі виробництва інших країн</t>
  </si>
  <si>
    <t>КЛ7</t>
  </si>
  <si>
    <t>КЛ8</t>
  </si>
  <si>
    <t>Вік водія</t>
  </si>
  <si>
    <t>Стаж водіння</t>
  </si>
  <si>
    <t>ЛА: DAEWOO, Chevrolet Aveo, китайські автомобілі, в т.ч. Brilliance, BYD, Chery, Dadi, Derways, Dongfeng, FAW, Geely, Great Wall, Groz, Haima, Hafei, JAC, Lifan, ShuangHuan, Tianma, Tianye, Vortex, Xin Kai, ZX Auto</t>
  </si>
  <si>
    <t>Комбайни, трактори</t>
  </si>
  <si>
    <t>Комісія</t>
  </si>
  <si>
    <t>К1. Коефіцієнт, залежний від розміру франшизи за ризиком "Незаконне заволодіння ТЗ" 
та у випадку конструктивної загибелі</t>
  </si>
  <si>
    <t>Тип транспортних засобів</t>
  </si>
  <si>
    <t>Розмір франшизи за ризиком "Незаконне заволодіння ТЗ" та у випадку конструктивної загибелі</t>
  </si>
  <si>
    <t>Легкові атомобілі вартістю не більше 500 000 грн.</t>
  </si>
  <si>
    <t>Легкові атомобілі вартістю більше 500 000 грн.</t>
  </si>
  <si>
    <t>Інші транспортні засоби</t>
  </si>
  <si>
    <t>К2. Коефіцієнти, залежний від вибору застрахованих ризиків</t>
  </si>
  <si>
    <t>Ризик, що виключається з страхового покриття</t>
  </si>
  <si>
    <t>А2. Стихійні лиха</t>
  </si>
  <si>
    <t>А3  Пожежа, вибух, влучення блискавки</t>
  </si>
  <si>
    <t>А4. Протиправні дії третіх осіб</t>
  </si>
  <si>
    <t>А5. Інші випадки</t>
  </si>
  <si>
    <t>Б. Незаконне заволодіння ТП</t>
  </si>
  <si>
    <t>Коеф</t>
  </si>
  <si>
    <t>К3. Коефіцієнт за системою бонус-малус</t>
  </si>
  <si>
    <t>К4. Коефіцієнт виплати відшкодування за деталі, вузли та агрегати ТЗ, що підлягають заміні</t>
  </si>
  <si>
    <t>менше 3</t>
  </si>
  <si>
    <t>3 - 5</t>
  </si>
  <si>
    <t>6 - 10</t>
  </si>
  <si>
    <t>11 - 20</t>
  </si>
  <si>
    <t>21 - 30</t>
  </si>
  <si>
    <t>31 - 50</t>
  </si>
  <si>
    <t>51 - 100</t>
  </si>
  <si>
    <t>більше 100</t>
  </si>
  <si>
    <t>оренда</t>
  </si>
  <si>
    <t>навчальний</t>
  </si>
  <si>
    <t>тест-драйв</t>
  </si>
  <si>
    <t>таксі, прокат</t>
  </si>
  <si>
    <t>територія України</t>
  </si>
  <si>
    <t>територія України + країни СНД</t>
  </si>
  <si>
    <t>територія України + країни СНД + Європа</t>
  </si>
  <si>
    <t>територія України + країни СНД + Європа + Інші країни</t>
  </si>
  <si>
    <t>ДС НТ</t>
  </si>
  <si>
    <t xml:space="preserve">ДС ЦПВ </t>
  </si>
  <si>
    <t>Тариф, %</t>
  </si>
  <si>
    <t>Ліміт відпов., грн.</t>
  </si>
  <si>
    <t xml:space="preserve">ДС НВ </t>
  </si>
  <si>
    <t>Умови страхування</t>
  </si>
  <si>
    <t>включено</t>
  </si>
  <si>
    <t>не включено</t>
  </si>
  <si>
    <t>Івано-Франківська обл., м.Тисмениця, Тисменицький р-н</t>
  </si>
  <si>
    <t>Дніпропетрівська обл., м.Кривий Ріг, Криворізький р-н</t>
  </si>
  <si>
    <t>Запорізька обл., м.Мелітополь, Мелітопольський р-н</t>
  </si>
  <si>
    <t>Івано-Франківська обл., м.Івано-Франківськ, Івано-Франківськ</t>
  </si>
  <si>
    <t>Одеська обл., м.Овідіополь, Овідіопольський р-н</t>
  </si>
  <si>
    <t>Рівненська обл., м.Рівне, Рівненський р-н</t>
  </si>
  <si>
    <t>Рівненська обл., всі міста та р-ни крім м.Рівне, Рівненський р-н</t>
  </si>
  <si>
    <t>Харківська обл., м.Харків, Харківський р-н</t>
  </si>
  <si>
    <t>Харківська обл., м.Дергачів, Дергачівський р-н</t>
  </si>
  <si>
    <t>Вінницька обл., всі міста та р-ни області крім м.Вінниця, Вінницький р-н</t>
  </si>
  <si>
    <t>Волинська обл., м.Луцьк, Луцький р-н</t>
  </si>
  <si>
    <t>Волинська обл., всі міста та р-ни області крім м.Луцьк, Луцький р-н</t>
  </si>
  <si>
    <t>Дніпропетрівська обл., м.Дніпропетровськ, Дніпропетровський р-н</t>
  </si>
  <si>
    <t>Дніпропетрівська обл., всі міста та р-ни області крім вказаних вище</t>
  </si>
  <si>
    <t xml:space="preserve">Київська обл., м.Київ </t>
  </si>
  <si>
    <t>Тернопільська обл., всі міста та р-ни крім м.Тернопіль, Тернопільський р-н</t>
  </si>
  <si>
    <t>ЗАЯВА</t>
  </si>
  <si>
    <t>ІПН/ЄДРПОУ</t>
  </si>
  <si>
    <t>Марка, модель</t>
  </si>
  <si>
    <t>Колір</t>
  </si>
  <si>
    <t>Рік випуску</t>
  </si>
  <si>
    <t>№ кузову</t>
  </si>
  <si>
    <t>Тип двигуна</t>
  </si>
  <si>
    <t>А3. Пожежа, вибух, влучення блискавки</t>
  </si>
  <si>
    <t>Б. Незаконне заволодіння ТЗ</t>
  </si>
  <si>
    <t>1-й випадок</t>
  </si>
  <si>
    <t>2-й випадок</t>
  </si>
  <si>
    <t xml:space="preserve">Протитуманні фари </t>
  </si>
  <si>
    <t>Лобове скло з підігрівом</t>
  </si>
  <si>
    <t>Аудіо-система</t>
  </si>
  <si>
    <t xml:space="preserve">Ксенонові фари </t>
  </si>
  <si>
    <t>Заднє скло з підігрівом</t>
  </si>
  <si>
    <t>Підніжки</t>
  </si>
  <si>
    <t>Коректор фар</t>
  </si>
  <si>
    <t>Бортовий комп’ютер</t>
  </si>
  <si>
    <t>Дуги безпеки</t>
  </si>
  <si>
    <t xml:space="preserve">Склоомивачі фар  </t>
  </si>
  <si>
    <t>Круїз контроль</t>
  </si>
  <si>
    <t>Підігрів сидінь</t>
  </si>
  <si>
    <t>Датчик дощу</t>
  </si>
  <si>
    <t xml:space="preserve">Гідропідсилювач керма </t>
  </si>
  <si>
    <t>Камера заднього виду</t>
  </si>
  <si>
    <t>Тоноване скло</t>
  </si>
  <si>
    <t xml:space="preserve">Кондиціонер </t>
  </si>
  <si>
    <t>Центральний замок</t>
  </si>
  <si>
    <t>Атермальне скло</t>
  </si>
  <si>
    <t xml:space="preserve">Клімат-контроль </t>
  </si>
  <si>
    <t xml:space="preserve">Блокування диференціалу </t>
  </si>
  <si>
    <t>Задній склоочисник</t>
  </si>
  <si>
    <t xml:space="preserve">ABS </t>
  </si>
  <si>
    <t xml:space="preserve">Тягово-зчіпний пристрій </t>
  </si>
  <si>
    <t>передні</t>
  </si>
  <si>
    <t>задні</t>
  </si>
  <si>
    <t>Люк</t>
  </si>
  <si>
    <t>механічні</t>
  </si>
  <si>
    <t>електричні</t>
  </si>
  <si>
    <t>Підголовники</t>
  </si>
  <si>
    <t>тканина</t>
  </si>
  <si>
    <t>велюр</t>
  </si>
  <si>
    <t>шкіра</t>
  </si>
  <si>
    <t>Диски</t>
  </si>
  <si>
    <t>литі</t>
  </si>
  <si>
    <t>штамповані</t>
  </si>
  <si>
    <t>ПІБ</t>
  </si>
  <si>
    <t>дизель</t>
  </si>
  <si>
    <t>газ</t>
  </si>
  <si>
    <t>електричний</t>
  </si>
  <si>
    <t>гібрід</t>
  </si>
  <si>
    <t>КАСКО</t>
  </si>
  <si>
    <t>КАСКО Супер С</t>
  </si>
  <si>
    <t>Страхується тільки місце водія</t>
  </si>
  <si>
    <t>Страхується тільки місце водія та переднього пасажира</t>
  </si>
  <si>
    <t>Кількість посадочних місць, які страхуються</t>
  </si>
  <si>
    <t>Страхуються всі посадочні місця ТЗ</t>
  </si>
  <si>
    <t>звичайний</t>
  </si>
  <si>
    <t>Характер експлуатації ТЗ</t>
  </si>
  <si>
    <t>Вартість ТЗ</t>
  </si>
  <si>
    <t>ринкова</t>
  </si>
  <si>
    <t>балансова</t>
  </si>
  <si>
    <t>Комплектація ТЗ</t>
  </si>
  <si>
    <t>Електросклопідйомник</t>
  </si>
  <si>
    <t>передні + задні</t>
  </si>
  <si>
    <t>відсутній</t>
  </si>
  <si>
    <t>бензин</t>
  </si>
  <si>
    <t>відсутні</t>
  </si>
  <si>
    <t>механічний</t>
  </si>
  <si>
    <t>Дзеркала</t>
  </si>
  <si>
    <t>Обивка салону</t>
  </si>
  <si>
    <t>(адреса місцезнаходження, тел./факс)</t>
  </si>
  <si>
    <t>м.</t>
  </si>
  <si>
    <t>"____"_______ 201__ р.</t>
  </si>
  <si>
    <t>ОСНОВНА ЧАСТИНА</t>
  </si>
  <si>
    <r>
      <rPr>
        <b/>
        <sz val="7"/>
        <color indexed="8"/>
        <rFont val="Calibri"/>
        <family val="2"/>
        <charset val="204"/>
      </rPr>
      <t>Страховик</t>
    </r>
    <r>
      <rPr>
        <sz val="7"/>
        <color indexed="8"/>
        <rFont val="Calibri"/>
        <family val="2"/>
        <charset val="204"/>
      </rPr>
      <t xml:space="preserve"> - Приватне акціонерне товариство "Страхова компанія "Перша" в особі _________________________, що діє на підставі ______________________________________, з однієї сторони, та</t>
    </r>
  </si>
  <si>
    <t>Страхувальник:</t>
  </si>
  <si>
    <t>Дата народження</t>
  </si>
  <si>
    <t>(ПІБ - для фізичної особи/назва, ПІБ керівника - для юридичної особи)</t>
  </si>
  <si>
    <t>(для фізичної особи)</t>
  </si>
  <si>
    <t>Паспорт/Довіреність/Статут</t>
  </si>
  <si>
    <r>
      <rPr>
        <b/>
        <sz val="7.5"/>
        <color indexed="8"/>
        <rFont val="Calibri"/>
        <family val="2"/>
        <charset val="204"/>
      </rPr>
      <t>Адреса</t>
    </r>
    <r>
      <rPr>
        <sz val="8"/>
        <color indexed="8"/>
        <rFont val="Calibri"/>
        <family val="2"/>
        <charset val="204"/>
      </rPr>
      <t xml:space="preserve"> </t>
    </r>
    <r>
      <rPr>
        <sz val="7"/>
        <color indexed="8"/>
        <rFont val="Calibri"/>
        <family val="2"/>
        <charset val="204"/>
      </rPr>
      <t>(та реквізити для юр.осіб)</t>
    </r>
  </si>
  <si>
    <r>
      <rPr>
        <b/>
        <sz val="7.5"/>
        <color indexed="8"/>
        <rFont val="Calibri"/>
        <family val="2"/>
        <charset val="204"/>
      </rPr>
      <t>Інформація про транспортний засіб</t>
    </r>
    <r>
      <rPr>
        <sz val="7.5"/>
        <color indexed="8"/>
        <rFont val="Calibri"/>
        <family val="2"/>
        <charset val="204"/>
      </rPr>
      <t xml:space="preserve"> </t>
    </r>
    <r>
      <rPr>
        <sz val="7"/>
        <color indexed="8"/>
        <rFont val="Calibri"/>
        <family val="2"/>
        <charset val="204"/>
      </rPr>
      <t>(надалі ТЗ)</t>
    </r>
  </si>
  <si>
    <t>Реєстраційний номер</t>
  </si>
  <si>
    <r>
      <rPr>
        <b/>
        <sz val="7.5"/>
        <color indexed="8"/>
        <rFont val="Calibri"/>
        <family val="2"/>
        <charset val="204"/>
      </rPr>
      <t>Додаткове обладнання</t>
    </r>
    <r>
      <rPr>
        <sz val="7"/>
        <color indexed="8"/>
        <rFont val="Calibri"/>
        <family val="2"/>
        <charset val="204"/>
      </rPr>
      <t xml:space="preserve"> (надалі ДО)</t>
    </r>
  </si>
  <si>
    <t>1. ДОБРОВІЛЬНЕ СТРАХУВАННЯ ТРАНСПОРТНОГО ЗАСОБУ (КАСКО)</t>
  </si>
  <si>
    <t>1.2. Страхові випадки:</t>
  </si>
  <si>
    <t>відмітити</t>
  </si>
  <si>
    <t>1.3. Опції страхування:</t>
  </si>
  <si>
    <t>А1. Дорожньо-транспортна пригода</t>
  </si>
  <si>
    <t>1.3.5. додаткова оплата послуг евакуатора</t>
  </si>
  <si>
    <t>1.4. Франшизи , %від страхових сум по ТЗ та/або ДО:</t>
  </si>
  <si>
    <t>1.5. Додаткові відомості:</t>
  </si>
  <si>
    <t>Франшиза за випадками  А1- А5, %:</t>
  </si>
  <si>
    <t>3-й та наступні випадки</t>
  </si>
  <si>
    <t>Франшиза за випадком Б та конструктивною загибеллю, %:</t>
  </si>
  <si>
    <r>
      <t xml:space="preserve">1.6. Страхова сума, грн. </t>
    </r>
    <r>
      <rPr>
        <sz val="7"/>
        <color indexed="8"/>
        <rFont val="Calibri"/>
        <family val="2"/>
        <charset val="204"/>
      </rPr>
      <t>(цифрами та прописом)</t>
    </r>
  </si>
  <si>
    <t>1.7. Страховий тариф,%</t>
  </si>
  <si>
    <t xml:space="preserve">1.8. Страховий платіж, грн. </t>
  </si>
  <si>
    <t>ТЗ</t>
  </si>
  <si>
    <t>ДО</t>
  </si>
  <si>
    <t>Всього</t>
  </si>
  <si>
    <t xml:space="preserve">1.9. Територія дії страхування </t>
  </si>
  <si>
    <t>з 00-00 год.</t>
  </si>
  <si>
    <t>до 24-00 год.</t>
  </si>
  <si>
    <t>Сервісна карта</t>
  </si>
  <si>
    <t>Телефон цілодобової підтримки 0 800 50 80 10</t>
  </si>
  <si>
    <t>Договір складається з Основної та Загальної частин</t>
  </si>
  <si>
    <t>З умовами Договору та Правилами страхування ознайомлений та згодний</t>
  </si>
  <si>
    <t>підпис,  М.П.</t>
  </si>
  <si>
    <t>-</t>
  </si>
  <si>
    <t>Ліцензії  видані Держфінпослуг  АЕ №198822 та АЕ №198809 - строк дії з 13.11.2007 р.; 
АЕ №198810 та АЕ №198815 - строк дії від 17.04.2008 р., безстрокові</t>
  </si>
  <si>
    <t xml:space="preserve">Встановити нестандартний страховий тариф </t>
  </si>
  <si>
    <t>дорожче 250000 грн.</t>
  </si>
  <si>
    <t>до 250000 грн. вкл</t>
  </si>
  <si>
    <t>неагрегатна</t>
  </si>
  <si>
    <t>агрегатна</t>
  </si>
  <si>
    <t>один раз протягом дії Договору</t>
  </si>
  <si>
    <t>двічі протягом дії Договору</t>
  </si>
  <si>
    <t>відшкодування не більше 2% страхової суми</t>
  </si>
  <si>
    <t>відшкодування не більше 3% страхової суми</t>
  </si>
  <si>
    <t>відшкодування не більше 4% страхової суми</t>
  </si>
  <si>
    <t>Найменший вік водія:</t>
  </si>
  <si>
    <t>Найменший стаж водіння:</t>
  </si>
  <si>
    <t>Строк з дати випуску ТЗ</t>
  </si>
  <si>
    <t>СТО обирає Страховик</t>
  </si>
  <si>
    <t>СТО обирає Страхувальник</t>
  </si>
  <si>
    <t>до 250000 грн. включно</t>
  </si>
  <si>
    <t>К5. Ремонт на фірмовій СТО (тільки якщо застосована опція "без врахування зносу")</t>
  </si>
  <si>
    <t>К6. Коефіцієнти короткостроковості</t>
  </si>
  <si>
    <t>К7. Коефіцієнт за парк</t>
  </si>
  <si>
    <t>К8. Коефіцієнт віку водія та стажу водіння для фізичних осіб</t>
  </si>
  <si>
    <t>К9. Страхова сума</t>
  </si>
  <si>
    <t>К11. Без врахування франшизи на скляні поверхні</t>
  </si>
  <si>
    <t>К12. Змінна франшиза при пошкодженні ТЗ (тільки для ЛА і мотоциклів)</t>
  </si>
  <si>
    <t>К13. Ліміт витрат на транспортування пошкодженого ТЗ</t>
  </si>
  <si>
    <t>К14. Відсутні основні обмеження на виплату страхового відшкодування при порушеннях ПДР</t>
  </si>
  <si>
    <t>К15. Виплата без підтверджуючих документів по скляних деталях</t>
  </si>
  <si>
    <t>К16. Виплата без підтверджуючих документів по нескляних деталях</t>
  </si>
  <si>
    <t>К17. Характер експлуатації ТЗ</t>
  </si>
  <si>
    <t>К18. Територія дії договору страхування</t>
  </si>
  <si>
    <t>К19. Пошкодження ТЗ вантажем або багажем, що перевозиться</t>
  </si>
  <si>
    <t>К20. Графік оплати</t>
  </si>
  <si>
    <t>К21. Незаконне заволодіння ТЗ за кордоном</t>
  </si>
  <si>
    <t>К22. Страхувальник - член АСМАП</t>
  </si>
  <si>
    <t>К23. Коефіцієнт врахування розміру комісії</t>
  </si>
  <si>
    <t>К24.Територія реєстрації (тільки для ЛА)</t>
  </si>
  <si>
    <t>К31. Коефіцієнт врахування розміру комісії</t>
  </si>
  <si>
    <t>К35. Коефіцієнт врахування розміру комісії</t>
  </si>
  <si>
    <t xml:space="preserve">1.3.2. без врахування зносу </t>
  </si>
  <si>
    <t xml:space="preserve">1.3.3. без врахування франшизи на скляні поверхні ТЗ </t>
  </si>
  <si>
    <t>1.3.4. без обмежень при порушеннях ПДР вказаних в п.9.16 Договору</t>
  </si>
  <si>
    <t/>
  </si>
  <si>
    <t>1.3.1. неагрегатна страхова сума</t>
  </si>
  <si>
    <t>Україна</t>
  </si>
  <si>
    <t xml:space="preserve">уклали цей  Договір добровільного страхування наземного транспорту (надалі – Договір). Страховик зобов’язується в разі настання страхового випадку виплатити страхове відшкодування на умовах цього Договору Страхувальнику або Вигодонабувачу, а Страхувальник зобов’язується сплатити страховий платіж на умовах, визначених цим Договором, та виконувати інші умови цього Договору. </t>
  </si>
  <si>
    <t xml:space="preserve">добровільного  страхування наземного транспорту </t>
  </si>
  <si>
    <r>
      <rPr>
        <b/>
        <sz val="7.5"/>
        <color indexed="8"/>
        <rFont val="Calibri"/>
        <family val="2"/>
        <charset val="204"/>
      </rPr>
      <t>1.1. Умови страхування</t>
    </r>
    <r>
      <rPr>
        <sz val="7.5"/>
        <color indexed="8"/>
        <rFont val="Calibri"/>
        <family val="2"/>
        <charset val="204"/>
      </rPr>
      <t>:</t>
    </r>
  </si>
  <si>
    <t>1.3.6. Ремонт на фірмовій СТО</t>
  </si>
  <si>
    <t>1.3.7. Виплата без підтверджуючих документів по скляних деталях</t>
  </si>
  <si>
    <t>1.3.8. Виплата без підтверджуючих документів по нескляних деталях</t>
  </si>
  <si>
    <t>Від Страховика (посада):_______________________</t>
  </si>
  <si>
    <t>Умови цього договору страхування погоджені з Вигодонабувачем</t>
  </si>
  <si>
    <t xml:space="preserve">   ________________________/_____________________</t>
  </si>
  <si>
    <t>Від Страхувальника  _____________ /___________</t>
  </si>
  <si>
    <t>Від Вигодонабувача  ___________ /_______________</t>
  </si>
  <si>
    <t>2. ПОРЯДОК СПЛАТИ СТРАХОВОГО ПЛАТЕЖУ. СТРОК  ДІЇ ДОГОВОРУ. ІНШІ УМОВИ</t>
  </si>
  <si>
    <t>2.1. Загальний страховий платіж за Договором, грн.</t>
  </si>
  <si>
    <t>2.2. Строк дії Договору</t>
  </si>
  <si>
    <t>2.3. Порядок сплати страхового платежу: одноразово в строк до "_______" ___________201_року</t>
  </si>
  <si>
    <t>2.4. Інші умови</t>
  </si>
  <si>
    <t>Вигодонабувач:</t>
  </si>
  <si>
    <t>(ПІБ керівника)</t>
  </si>
  <si>
    <t>Довіреність/Статут</t>
  </si>
  <si>
    <t xml:space="preserve">ДОГОВІР № 06-86   </t>
  </si>
  <si>
    <t>03150, м. Київ, вул. Фізкультури, 30</t>
  </si>
  <si>
    <t>ксп</t>
  </si>
  <si>
    <t>тел. (044)2015405; e-mail:office@persha.ua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</si>
</sst>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.00\ &quot;грн.&quot;"/>
    <numFmt numFmtId="167" formatCode="0.00000000"/>
    <numFmt numFmtId="168" formatCode="0.0"/>
  </numFmts>
  <fonts count="73">
    <font>
      <sz val="10"/>
      <name val="Arial Cyr"/>
      <charset val="204"/>
    </font>
    <font>
      <sz val="10"/>
      <name val="Arial"/>
      <family val="2"/>
      <charset val="204"/>
    </font>
    <font>
      <b/>
      <i/>
      <sz val="11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204"/>
    </font>
    <font>
      <b/>
      <i/>
      <sz val="11"/>
      <name val="Arial Cyr"/>
      <charset val="204"/>
    </font>
    <font>
      <sz val="12"/>
      <name val="Arial Narrow"/>
      <family val="2"/>
      <charset val="204"/>
    </font>
    <font>
      <b/>
      <sz val="12"/>
      <name val="Times New Roman"/>
      <family val="1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72"/>
      <name val="Arial Narrow"/>
      <family val="2"/>
      <charset val="204"/>
    </font>
    <font>
      <b/>
      <sz val="8"/>
      <name val="Arial"/>
      <family val="2"/>
      <charset val="204"/>
    </font>
    <font>
      <sz val="11"/>
      <name val="Arial Narrow"/>
      <family val="2"/>
      <charset val="204"/>
    </font>
    <font>
      <b/>
      <sz val="12"/>
      <name val="Arial Cyr"/>
      <charset val="204"/>
    </font>
    <font>
      <b/>
      <sz val="11"/>
      <name val="Arial Narrow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Arial Narrow"/>
      <family val="2"/>
      <charset val="204"/>
    </font>
    <font>
      <sz val="12"/>
      <name val="Times New Roman"/>
      <family val="2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b/>
      <sz val="7.5"/>
      <color indexed="8"/>
      <name val="Calibri"/>
      <family val="2"/>
      <charset val="204"/>
    </font>
    <font>
      <sz val="7.5"/>
      <color indexed="8"/>
      <name val="Calibri"/>
      <family val="2"/>
      <charset val="204"/>
    </font>
    <font>
      <b/>
      <sz val="7"/>
      <color indexed="8"/>
      <name val="Calibri"/>
      <family val="2"/>
      <charset val="204"/>
    </font>
    <font>
      <sz val="7.5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6.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7.5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.5"/>
      <color theme="1"/>
      <name val="Arial Narrow"/>
      <family val="2"/>
      <charset val="204"/>
    </font>
    <font>
      <b/>
      <sz val="12"/>
      <color theme="3"/>
      <name val="Arial"/>
      <family val="2"/>
      <charset val="204"/>
    </font>
    <font>
      <b/>
      <sz val="11"/>
      <color theme="3"/>
      <name val="Arial Narrow"/>
      <family val="2"/>
      <charset val="204"/>
    </font>
    <font>
      <sz val="10"/>
      <color theme="3"/>
      <name val="Arial Cyr"/>
      <charset val="204"/>
    </font>
    <font>
      <sz val="12"/>
      <color theme="3"/>
      <name val="Arial Narrow"/>
      <family val="2"/>
      <charset val="204"/>
    </font>
    <font>
      <b/>
      <sz val="12"/>
      <color theme="3"/>
      <name val="Arial Cyr"/>
      <charset val="204"/>
    </font>
    <font>
      <sz val="11"/>
      <color theme="3"/>
      <name val="Arial Narrow"/>
      <family val="2"/>
      <charset val="204"/>
    </font>
    <font>
      <b/>
      <sz val="14"/>
      <color theme="3"/>
      <name val="Arial"/>
      <family val="2"/>
      <charset val="204"/>
    </font>
    <font>
      <b/>
      <sz val="10"/>
      <color theme="3"/>
      <name val="Arial Narrow"/>
      <family val="2"/>
      <charset val="204"/>
    </font>
    <font>
      <b/>
      <sz val="12"/>
      <color theme="3"/>
      <name val="Arial Narrow"/>
      <family val="2"/>
      <charset val="204"/>
    </font>
    <font>
      <b/>
      <sz val="7.5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1"/>
      <color theme="3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theme="3"/>
      <name val="Arial"/>
      <family val="2"/>
      <charset val="204"/>
    </font>
    <font>
      <sz val="12"/>
      <color theme="3"/>
      <name val="Times New Roman"/>
      <family val="1"/>
      <charset val="204"/>
    </font>
    <font>
      <b/>
      <sz val="6.5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36" fillId="0" borderId="0"/>
  </cellStyleXfs>
  <cellXfs count="4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/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0" xfId="0" applyFont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2" fontId="14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9" fontId="14" fillId="0" borderId="3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 horizontal="left" vertical="center" readingOrder="1"/>
    </xf>
    <xf numFmtId="2" fontId="4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left" vertical="center"/>
    </xf>
    <xf numFmtId="0" fontId="19" fillId="0" borderId="0" xfId="0" applyFont="1" applyAlignment="1"/>
    <xf numFmtId="49" fontId="20" fillId="2" borderId="3" xfId="1" applyNumberFormat="1" applyFont="1" applyFill="1" applyBorder="1" applyAlignment="1">
      <alignment horizontal="left" vertical="center" readingOrder="1"/>
    </xf>
    <xf numFmtId="2" fontId="20" fillId="0" borderId="3" xfId="1" applyNumberFormat="1" applyFont="1" applyFill="1" applyBorder="1" applyAlignment="1">
      <alignment horizontal="left" vertical="center"/>
    </xf>
    <xf numFmtId="49" fontId="18" fillId="0" borderId="3" xfId="0" applyNumberFormat="1" applyFont="1" applyBorder="1"/>
    <xf numFmtId="4" fontId="21" fillId="0" borderId="3" xfId="1" applyNumberFormat="1" applyFont="1" applyFill="1" applyBorder="1" applyAlignment="1">
      <alignment horizontal="center"/>
    </xf>
    <xf numFmtId="4" fontId="21" fillId="0" borderId="3" xfId="1" applyNumberFormat="1" applyFont="1" applyFill="1" applyBorder="1" applyAlignment="1">
      <alignment horizontal="center" vertical="center"/>
    </xf>
    <xf numFmtId="0" fontId="18" fillId="0" borderId="0" xfId="0" applyFont="1"/>
    <xf numFmtId="0" fontId="24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6" fillId="0" borderId="0" xfId="0" applyFont="1"/>
    <xf numFmtId="0" fontId="24" fillId="0" borderId="0" xfId="0" applyFont="1" applyFill="1"/>
    <xf numFmtId="10" fontId="24" fillId="0" borderId="0" xfId="0" applyNumberFormat="1" applyFont="1" applyFill="1" applyAlignment="1">
      <alignment horizontal="center" vertical="center"/>
    </xf>
    <xf numFmtId="10" fontId="27" fillId="0" borderId="0" xfId="0" applyNumberFormat="1" applyFont="1" applyFill="1" applyAlignment="1">
      <alignment horizontal="center" vertical="center"/>
    </xf>
    <xf numFmtId="0" fontId="12" fillId="0" borderId="0" xfId="0" applyFont="1" applyBorder="1" applyProtection="1">
      <protection locked="0"/>
    </xf>
    <xf numFmtId="0" fontId="12" fillId="0" borderId="0" xfId="0" applyFont="1" applyBorder="1"/>
    <xf numFmtId="0" fontId="37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2" fontId="25" fillId="0" borderId="4" xfId="0" applyNumberFormat="1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/>
    </xf>
    <xf numFmtId="2" fontId="25" fillId="3" borderId="4" xfId="0" applyNumberFormat="1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Border="1"/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protection locked="0"/>
    </xf>
    <xf numFmtId="0" fontId="16" fillId="0" borderId="0" xfId="0" applyFont="1" applyAlignment="1">
      <alignment vertical="center"/>
    </xf>
    <xf numFmtId="10" fontId="16" fillId="0" borderId="0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5" fillId="0" borderId="14" xfId="0" applyFont="1" applyFill="1" applyBorder="1"/>
    <xf numFmtId="49" fontId="10" fillId="0" borderId="15" xfId="0" applyNumberFormat="1" applyFont="1" applyFill="1" applyBorder="1" applyAlignment="1">
      <alignment horizontal="center" vertical="center"/>
    </xf>
    <xf numFmtId="10" fontId="10" fillId="0" borderId="16" xfId="0" applyNumberFormat="1" applyFont="1" applyFill="1" applyBorder="1" applyAlignment="1">
      <alignment horizontal="center" vertical="center" wrapText="1"/>
    </xf>
    <xf numFmtId="10" fontId="10" fillId="0" borderId="17" xfId="0" applyNumberFormat="1" applyFont="1" applyFill="1" applyBorder="1" applyAlignment="1">
      <alignment horizontal="center" vertical="center" wrapText="1"/>
    </xf>
    <xf numFmtId="10" fontId="10" fillId="0" borderId="18" xfId="0" applyNumberFormat="1" applyFont="1" applyFill="1" applyBorder="1" applyAlignment="1">
      <alignment horizontal="center" vertical="center" wrapText="1"/>
    </xf>
    <xf numFmtId="10" fontId="10" fillId="0" borderId="12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9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3" applyFont="1" applyFill="1" applyBorder="1" applyAlignment="1">
      <alignment horizontal="left" vertical="center"/>
    </xf>
    <xf numFmtId="0" fontId="16" fillId="0" borderId="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2" fontId="14" fillId="0" borderId="3" xfId="3" applyNumberFormat="1" applyFont="1" applyFill="1" applyBorder="1" applyAlignment="1">
      <alignment horizontal="center" vertical="center" wrapText="1"/>
    </xf>
    <xf numFmtId="2" fontId="14" fillId="0" borderId="0" xfId="3" applyNumberFormat="1" applyFont="1" applyFill="1" applyBorder="1" applyAlignment="1">
      <alignment horizontal="center" vertical="center" wrapText="1"/>
    </xf>
    <xf numFmtId="2" fontId="14" fillId="0" borderId="0" xfId="3" applyNumberFormat="1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/>
    <xf numFmtId="0" fontId="10" fillId="0" borderId="0" xfId="0" applyFont="1" applyFill="1" applyBorder="1" applyAlignment="1"/>
    <xf numFmtId="0" fontId="40" fillId="0" borderId="0" xfId="0" applyFont="1" applyBorder="1" applyAlignme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ont="1"/>
    <xf numFmtId="0" fontId="14" fillId="0" borderId="0" xfId="0" applyFont="1" applyFill="1" applyBorder="1" applyAlignment="1"/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right" vertical="center" wrapText="1"/>
    </xf>
    <xf numFmtId="0" fontId="14" fillId="0" borderId="0" xfId="3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9" fontId="16" fillId="0" borderId="3" xfId="0" applyNumberFormat="1" applyFont="1" applyFill="1" applyBorder="1" applyAlignment="1">
      <alignment horizontal="center" vertical="center"/>
    </xf>
    <xf numFmtId="9" fontId="16" fillId="0" borderId="4" xfId="0" applyNumberFormat="1" applyFont="1" applyFill="1" applyBorder="1" applyAlignment="1">
      <alignment horizontal="center" vertical="center"/>
    </xf>
    <xf numFmtId="9" fontId="16" fillId="0" borderId="1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/>
    <xf numFmtId="0" fontId="14" fillId="0" borderId="20" xfId="0" applyFont="1" applyFill="1" applyBorder="1" applyAlignment="1"/>
    <xf numFmtId="0" fontId="14" fillId="0" borderId="22" xfId="0" applyFont="1" applyFill="1" applyBorder="1" applyAlignment="1"/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Border="1" applyAlignment="1"/>
    <xf numFmtId="9" fontId="14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40" fillId="0" borderId="0" xfId="0" applyFont="1" applyAlignment="1">
      <alignment horizontal="left" wrapText="1"/>
    </xf>
    <xf numFmtId="0" fontId="6" fillId="0" borderId="4" xfId="0" applyFont="1" applyFill="1" applyBorder="1" applyAlignment="1"/>
    <xf numFmtId="0" fontId="10" fillId="0" borderId="20" xfId="0" applyFont="1" applyFill="1" applyBorder="1" applyAlignment="1"/>
    <xf numFmtId="0" fontId="10" fillId="0" borderId="22" xfId="0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10" fillId="0" borderId="4" xfId="0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15" fillId="0" borderId="3" xfId="0" applyFont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5" fillId="0" borderId="0" xfId="0" applyFont="1"/>
    <xf numFmtId="0" fontId="22" fillId="0" borderId="0" xfId="0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10" fontId="24" fillId="0" borderId="0" xfId="0" applyNumberFormat="1" applyFont="1" applyFill="1" applyBorder="1" applyAlignment="1">
      <alignment horizontal="center" vertical="center"/>
    </xf>
    <xf numFmtId="10" fontId="13" fillId="0" borderId="21" xfId="0" applyNumberFormat="1" applyFont="1" applyFill="1" applyBorder="1" applyAlignment="1">
      <alignment horizontal="center" vertical="center" wrapText="1"/>
    </xf>
    <xf numFmtId="10" fontId="10" fillId="0" borderId="15" xfId="0" applyNumberFormat="1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 vertical="center" wrapText="1"/>
    </xf>
    <xf numFmtId="10" fontId="10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42" fillId="0" borderId="0" xfId="0" applyFont="1" applyFill="1"/>
    <xf numFmtId="0" fontId="5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9" fontId="17" fillId="0" borderId="0" xfId="0" applyNumberFormat="1" applyFont="1" applyAlignment="1">
      <alignment horizontal="center" vertical="center"/>
    </xf>
    <xf numFmtId="9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3" fillId="0" borderId="0" xfId="0" applyFont="1"/>
    <xf numFmtId="0" fontId="8" fillId="0" borderId="0" xfId="0" applyFont="1"/>
    <xf numFmtId="0" fontId="2" fillId="0" borderId="5" xfId="0" applyFont="1" applyFill="1" applyBorder="1" applyAlignment="1">
      <alignment horizontal="center" vertical="center" wrapText="1" readingOrder="1"/>
    </xf>
    <xf numFmtId="0" fontId="26" fillId="0" borderId="0" xfId="0" applyFont="1" applyAlignment="1"/>
    <xf numFmtId="0" fontId="4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43" fillId="0" borderId="0" xfId="0" applyFont="1" applyFill="1" applyBorder="1" applyAlignment="1">
      <alignment horizontal="left" vertical="center" wrapText="1"/>
    </xf>
    <xf numFmtId="0" fontId="41" fillId="0" borderId="3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167" fontId="17" fillId="0" borderId="0" xfId="0" applyNumberFormat="1" applyFont="1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167" fontId="10" fillId="0" borderId="3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2" fillId="0" borderId="3" xfId="0" applyFont="1" applyBorder="1" applyAlignment="1">
      <alignment horizontal="center" vertical="center"/>
    </xf>
    <xf numFmtId="9" fontId="12" fillId="0" borderId="4" xfId="0" applyNumberFormat="1" applyFont="1" applyFill="1" applyBorder="1" applyAlignment="1">
      <alignment horizontal="center"/>
    </xf>
    <xf numFmtId="9" fontId="12" fillId="0" borderId="4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/>
    <xf numFmtId="0" fontId="0" fillId="0" borderId="0" xfId="0"/>
    <xf numFmtId="0" fontId="56" fillId="0" borderId="0" xfId="0" applyFont="1" applyAlignment="1">
      <alignment horizontal="center"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/>
    <xf numFmtId="0" fontId="59" fillId="0" borderId="0" xfId="0" applyFont="1"/>
    <xf numFmtId="0" fontId="57" fillId="0" borderId="3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2" fontId="57" fillId="0" borderId="3" xfId="0" applyNumberFormat="1" applyFont="1" applyFill="1" applyBorder="1" applyAlignment="1">
      <alignment horizontal="center" vertical="center" wrapText="1"/>
    </xf>
    <xf numFmtId="0" fontId="58" fillId="0" borderId="0" xfId="0" applyFont="1" applyBorder="1"/>
    <xf numFmtId="0" fontId="61" fillId="0" borderId="3" xfId="0" applyFont="1" applyFill="1" applyBorder="1" applyAlignment="1">
      <alignment horizontal="center" vertical="center" wrapText="1"/>
    </xf>
    <xf numFmtId="2" fontId="61" fillId="0" borderId="3" xfId="0" applyNumberFormat="1" applyFont="1" applyFill="1" applyBorder="1" applyAlignment="1">
      <alignment horizontal="center" vertical="center" wrapText="1"/>
    </xf>
    <xf numFmtId="2" fontId="61" fillId="0" borderId="3" xfId="0" applyNumberFormat="1" applyFont="1" applyFill="1" applyBorder="1" applyAlignment="1">
      <alignment horizontal="center" vertical="center"/>
    </xf>
    <xf numFmtId="0" fontId="59" fillId="0" borderId="0" xfId="0" applyFont="1" applyBorder="1"/>
    <xf numFmtId="0" fontId="58" fillId="0" borderId="0" xfId="0" applyFont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Fill="1" applyBorder="1" applyAlignment="1">
      <alignment horizontal="center" vertical="center"/>
    </xf>
    <xf numFmtId="2" fontId="61" fillId="0" borderId="15" xfId="0" applyNumberFormat="1" applyFont="1" applyFill="1" applyBorder="1" applyAlignment="1">
      <alignment horizontal="center" vertical="center"/>
    </xf>
    <xf numFmtId="0" fontId="63" fillId="0" borderId="3" xfId="0" applyFont="1" applyBorder="1" applyAlignment="1">
      <alignment horizontal="center" vertical="center" wrapText="1"/>
    </xf>
    <xf numFmtId="0" fontId="58" fillId="0" borderId="3" xfId="0" applyFont="1" applyBorder="1"/>
    <xf numFmtId="0" fontId="64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2" fontId="14" fillId="0" borderId="3" xfId="3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6" fillId="0" borderId="0" xfId="3" applyNumberFormat="1" applyFont="1" applyFill="1" applyBorder="1" applyAlignment="1">
      <alignment horizontal="right"/>
    </xf>
    <xf numFmtId="168" fontId="14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/>
    </xf>
    <xf numFmtId="0" fontId="57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0" xfId="0"/>
    <xf numFmtId="0" fontId="53" fillId="0" borderId="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7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65" fillId="0" borderId="6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2" fontId="61" fillId="0" borderId="15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/>
    <xf numFmtId="0" fontId="63" fillId="0" borderId="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2" fontId="69" fillId="0" borderId="3" xfId="0" applyNumberFormat="1" applyFont="1" applyBorder="1" applyAlignment="1">
      <alignment horizontal="center" vertical="center"/>
    </xf>
    <xf numFmtId="0" fontId="69" fillId="0" borderId="0" xfId="0" applyFont="1" applyBorder="1" applyAlignment="1"/>
    <xf numFmtId="0" fontId="56" fillId="0" borderId="11" xfId="0" applyFont="1" applyFill="1" applyBorder="1" applyAlignment="1">
      <alignment horizontal="center" vertical="center" wrapText="1"/>
    </xf>
    <xf numFmtId="0" fontId="56" fillId="0" borderId="0" xfId="0" applyFont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left" vertical="center"/>
      <protection locked="0"/>
    </xf>
    <xf numFmtId="2" fontId="59" fillId="0" borderId="0" xfId="0" applyNumberFormat="1" applyFont="1" applyAlignment="1">
      <alignment horizontal="center" vertical="center"/>
    </xf>
    <xf numFmtId="0" fontId="64" fillId="0" borderId="0" xfId="0" applyFont="1"/>
    <xf numFmtId="2" fontId="64" fillId="0" borderId="0" xfId="0" applyNumberFormat="1" applyFont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1" fontId="48" fillId="0" borderId="3" xfId="0" applyNumberFormat="1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9" fillId="0" borderId="9" xfId="0" applyFont="1" applyFill="1" applyBorder="1" applyAlignment="1">
      <alignment vertical="center" wrapText="1"/>
    </xf>
    <xf numFmtId="0" fontId="49" fillId="0" borderId="6" xfId="0" applyFont="1" applyFill="1" applyBorder="1" applyAlignment="1">
      <alignment vertical="center" wrapText="1"/>
    </xf>
    <xf numFmtId="0" fontId="46" fillId="0" borderId="6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50" fillId="0" borderId="3" xfId="0" applyFont="1" applyBorder="1" applyAlignment="1" applyProtection="1">
      <alignment vertical="center" wrapText="1"/>
      <protection locked="0"/>
    </xf>
    <xf numFmtId="167" fontId="10" fillId="0" borderId="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2" fontId="14" fillId="0" borderId="3" xfId="3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7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67" fillId="0" borderId="3" xfId="0" applyFont="1" applyFill="1" applyBorder="1" applyAlignment="1">
      <alignment horizontal="center" vertical="center" wrapText="1"/>
    </xf>
    <xf numFmtId="0" fontId="58" fillId="0" borderId="3" xfId="0" applyFont="1" applyBorder="1" applyAlignment="1"/>
    <xf numFmtId="0" fontId="63" fillId="0" borderId="3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0" fillId="0" borderId="22" xfId="0" applyBorder="1" applyAlignment="1"/>
    <xf numFmtId="2" fontId="57" fillId="0" borderId="3" xfId="0" applyNumberFormat="1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 applyProtection="1">
      <alignment horizontal="center" vertical="center" wrapText="1"/>
      <protection locked="0"/>
    </xf>
    <xf numFmtId="0" fontId="49" fillId="0" borderId="3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6" fillId="0" borderId="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7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/>
    </xf>
    <xf numFmtId="0" fontId="52" fillId="0" borderId="22" xfId="0" applyFont="1" applyFill="1" applyBorder="1" applyAlignment="1">
      <alignment horizontal="left"/>
    </xf>
    <xf numFmtId="0" fontId="52" fillId="0" borderId="3" xfId="0" applyFont="1" applyFill="1" applyBorder="1" applyAlignment="1">
      <alignment horizontal="center" vertical="center" wrapText="1"/>
    </xf>
    <xf numFmtId="14" fontId="49" fillId="0" borderId="3" xfId="0" applyNumberFormat="1" applyFont="1" applyFill="1" applyBorder="1" applyAlignment="1">
      <alignment horizontal="center" vertical="center" wrapText="1"/>
    </xf>
    <xf numFmtId="166" fontId="49" fillId="0" borderId="4" xfId="0" applyNumberFormat="1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54" fillId="0" borderId="20" xfId="0" applyNumberFormat="1" applyFont="1" applyFill="1" applyBorder="1" applyAlignment="1" applyProtection="1">
      <alignment horizontal="left" vertical="center" wrapText="1" readingOrder="1"/>
    </xf>
    <xf numFmtId="0" fontId="54" fillId="0" borderId="22" xfId="0" applyNumberFormat="1" applyFont="1" applyFill="1" applyBorder="1" applyAlignment="1" applyProtection="1">
      <alignment horizontal="left" vertical="center" wrapText="1" readingOrder="1"/>
    </xf>
    <xf numFmtId="9" fontId="49" fillId="0" borderId="4" xfId="0" applyNumberFormat="1" applyFont="1" applyFill="1" applyBorder="1" applyAlignment="1">
      <alignment horizontal="center" vertical="center" wrapText="1"/>
    </xf>
    <xf numFmtId="9" fontId="49" fillId="0" borderId="20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left" vertical="center" wrapText="1"/>
    </xf>
    <xf numFmtId="166" fontId="49" fillId="0" borderId="4" xfId="0" applyNumberFormat="1" applyFont="1" applyFill="1" applyBorder="1" applyAlignment="1">
      <alignment horizontal="center" vertical="center" wrapText="1"/>
    </xf>
    <xf numFmtId="166" fontId="49" fillId="0" borderId="20" xfId="0" applyNumberFormat="1" applyFont="1" applyFill="1" applyBorder="1" applyAlignment="1">
      <alignment horizontal="center" vertical="center" wrapText="1"/>
    </xf>
    <xf numFmtId="166" fontId="49" fillId="0" borderId="22" xfId="0" applyNumberFormat="1" applyFont="1" applyFill="1" applyBorder="1" applyAlignment="1">
      <alignment horizontal="center" vertical="center" wrapText="1"/>
    </xf>
    <xf numFmtId="166" fontId="53" fillId="0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 applyProtection="1">
      <alignment horizontal="left" vertical="center" wrapText="1"/>
    </xf>
    <xf numFmtId="0" fontId="54" fillId="0" borderId="22" xfId="0" applyFont="1" applyFill="1" applyBorder="1" applyAlignment="1" applyProtection="1">
      <alignment horizontal="left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165" fontId="49" fillId="0" borderId="8" xfId="0" applyNumberFormat="1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7" xfId="0" applyFill="1" applyBorder="1"/>
    <xf numFmtId="0" fontId="0" fillId="0" borderId="11" xfId="0" applyFill="1" applyBorder="1"/>
    <xf numFmtId="0" fontId="0" fillId="0" borderId="0" xfId="0" applyFill="1"/>
    <xf numFmtId="0" fontId="0" fillId="0" borderId="1" xfId="0" applyFill="1" applyBorder="1"/>
    <xf numFmtId="0" fontId="0" fillId="0" borderId="9" xfId="0" applyFill="1" applyBorder="1"/>
    <xf numFmtId="0" fontId="0" fillId="0" borderId="6" xfId="0" applyFill="1" applyBorder="1"/>
    <xf numFmtId="0" fontId="0" fillId="0" borderId="12" xfId="0" applyFill="1" applyBorder="1"/>
    <xf numFmtId="0" fontId="52" fillId="0" borderId="3" xfId="0" applyFont="1" applyFill="1" applyBorder="1" applyAlignment="1">
      <alignment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7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0" fontId="49" fillId="0" borderId="3" xfId="0" applyNumberFormat="1" applyFont="1" applyFill="1" applyBorder="1" applyAlignment="1">
      <alignment horizontal="center" vertical="center" wrapText="1"/>
    </xf>
    <xf numFmtId="10" fontId="49" fillId="0" borderId="4" xfId="0" applyNumberFormat="1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vertical="center"/>
    </xf>
    <xf numFmtId="0" fontId="65" fillId="0" borderId="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vertical="center" wrapText="1"/>
    </xf>
    <xf numFmtId="0" fontId="49" fillId="0" borderId="3" xfId="0" applyFont="1" applyFill="1" applyBorder="1" applyAlignment="1">
      <alignment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66" fillId="0" borderId="4" xfId="0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>
      <alignment horizontal="center" vertical="center" wrapText="1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1" fontId="49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 applyProtection="1">
      <alignment horizontal="justify" vertical="distributed" wrapText="1"/>
      <protection locked="0"/>
    </xf>
    <xf numFmtId="0" fontId="45" fillId="0" borderId="6" xfId="0" applyFont="1" applyFill="1" applyBorder="1" applyAlignment="1" applyProtection="1">
      <alignment horizontal="justify" vertical="distributed" wrapText="1"/>
      <protection locked="0"/>
    </xf>
    <xf numFmtId="0" fontId="49" fillId="0" borderId="8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48" fillId="0" borderId="3" xfId="0" applyNumberFormat="1" applyFont="1" applyFill="1" applyBorder="1" applyAlignment="1">
      <alignment horizontal="center" vertical="center" wrapText="1"/>
    </xf>
    <xf numFmtId="0" fontId="48" fillId="0" borderId="4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6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8" fillId="0" borderId="3" xfId="0" applyFont="1" applyFill="1" applyBorder="1" applyAlignment="1">
      <alignment horizontal="center" vertical="center" wrapText="1"/>
    </xf>
    <xf numFmtId="0" fontId="48" fillId="0" borderId="8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H371"/>
  <sheetViews>
    <sheetView topLeftCell="A190" workbookViewId="0">
      <selection activeCell="E205" sqref="E205"/>
    </sheetView>
  </sheetViews>
  <sheetFormatPr defaultRowHeight="15.75"/>
  <cols>
    <col min="1" max="1" width="4" style="65" customWidth="1"/>
    <col min="2" max="2" width="23.140625" style="9" customWidth="1"/>
    <col min="3" max="3" width="15.42578125" style="9" customWidth="1"/>
    <col min="4" max="4" width="24.140625" style="9" customWidth="1"/>
    <col min="5" max="5" width="25.5703125" style="9" customWidth="1"/>
    <col min="6" max="6" width="30.140625" style="9" customWidth="1"/>
    <col min="7" max="7" width="25.28515625" style="9" customWidth="1"/>
    <col min="8" max="8" width="22.140625" customWidth="1"/>
    <col min="9" max="9" width="16.42578125" customWidth="1"/>
    <col min="10" max="10" width="17.5703125" customWidth="1"/>
  </cols>
  <sheetData>
    <row r="1" spans="1:15">
      <c r="B1" s="179" t="s">
        <v>177</v>
      </c>
    </row>
    <row r="2" spans="1:15" ht="15" thickBot="1">
      <c r="A2" s="5"/>
      <c r="B2" s="2"/>
      <c r="C2" s="2"/>
      <c r="D2" s="2"/>
      <c r="E2" s="1"/>
      <c r="F2" s="1"/>
      <c r="G2" s="1"/>
      <c r="H2" s="3"/>
      <c r="I2" s="3"/>
      <c r="J2" s="4"/>
      <c r="K2" s="4"/>
      <c r="L2" s="5"/>
      <c r="M2" s="5"/>
      <c r="N2" s="5"/>
      <c r="O2" s="5"/>
    </row>
    <row r="3" spans="1:15" thickBot="1">
      <c r="A3" s="5"/>
      <c r="B3" s="194" t="s">
        <v>23</v>
      </c>
      <c r="C3" s="284" t="s">
        <v>27</v>
      </c>
      <c r="D3" s="285"/>
      <c r="E3" s="285"/>
      <c r="F3" s="285"/>
      <c r="G3" s="285"/>
      <c r="H3" s="285"/>
      <c r="I3" s="285"/>
      <c r="J3" s="286"/>
      <c r="K3" s="170"/>
      <c r="L3" s="5"/>
      <c r="M3" s="5"/>
      <c r="N3" s="5"/>
      <c r="O3" s="5"/>
    </row>
    <row r="4" spans="1:15" ht="18.75" thickBot="1">
      <c r="A4" s="5"/>
      <c r="B4" s="81"/>
      <c r="C4" s="174">
        <v>0</v>
      </c>
      <c r="D4" s="7">
        <v>2.5000000000000001E-3</v>
      </c>
      <c r="E4" s="7">
        <v>5.0000000000000001E-3</v>
      </c>
      <c r="F4" s="7">
        <v>0.01</v>
      </c>
      <c r="G4" s="7">
        <v>1.4999999999999999E-2</v>
      </c>
      <c r="H4" s="7">
        <v>0.02</v>
      </c>
      <c r="I4" s="7">
        <v>2.5000000000000001E-2</v>
      </c>
      <c r="J4" s="8">
        <v>0.05</v>
      </c>
      <c r="K4" s="171"/>
      <c r="L4" s="37">
        <v>1</v>
      </c>
      <c r="M4" s="24">
        <v>0</v>
      </c>
      <c r="N4" s="42">
        <f ca="1">ROUND(OFFSET(B4,A5,L4,,),4)</f>
        <v>4.8899999999999999E-2</v>
      </c>
    </row>
    <row r="5" spans="1:15">
      <c r="A5" s="37">
        <v>2</v>
      </c>
      <c r="B5" s="99" t="s">
        <v>14</v>
      </c>
      <c r="C5" s="83">
        <v>5.6234999999999993E-2</v>
      </c>
      <c r="D5" s="83">
        <v>5.1864999999999994E-2</v>
      </c>
      <c r="E5" s="83">
        <v>4.8875000000000002E-2</v>
      </c>
      <c r="F5" s="83">
        <v>4.5425E-2</v>
      </c>
      <c r="G5" s="83">
        <v>4.2089999999999995E-2</v>
      </c>
      <c r="H5" s="83">
        <v>3.9100000000000003E-2</v>
      </c>
      <c r="I5" s="83">
        <v>3.6684999999999995E-2</v>
      </c>
      <c r="J5" s="83">
        <v>3.1739999999999997E-2</v>
      </c>
      <c r="K5" s="172"/>
      <c r="L5" s="5"/>
      <c r="M5" s="24">
        <v>2.5000000000000001E-3</v>
      </c>
      <c r="N5" s="5"/>
    </row>
    <row r="6" spans="1:15" ht="15" thickBot="1">
      <c r="A6" s="5"/>
      <c r="B6" s="100" t="s">
        <v>15</v>
      </c>
      <c r="C6" s="84">
        <v>4.8899999999999999E-2</v>
      </c>
      <c r="D6" s="84">
        <v>4.5100000000000001E-2</v>
      </c>
      <c r="E6" s="84">
        <v>4.2500000000000003E-2</v>
      </c>
      <c r="F6" s="84">
        <v>3.95E-2</v>
      </c>
      <c r="G6" s="84">
        <v>3.6600000000000001E-2</v>
      </c>
      <c r="H6" s="84">
        <v>3.4000000000000002E-2</v>
      </c>
      <c r="I6" s="84">
        <v>3.1899999999999998E-2</v>
      </c>
      <c r="J6" s="84">
        <v>2.76E-2</v>
      </c>
      <c r="K6" s="172"/>
      <c r="L6" s="5"/>
      <c r="M6" s="24">
        <v>5.0000000000000001E-3</v>
      </c>
      <c r="N6" s="5"/>
    </row>
    <row r="7" spans="1:15" ht="14.25">
      <c r="A7" s="5"/>
      <c r="B7" s="101" t="s">
        <v>16</v>
      </c>
      <c r="C7" s="83">
        <v>1.9099999999999999E-2</v>
      </c>
      <c r="D7" s="83">
        <v>1.8100000000000002E-2</v>
      </c>
      <c r="E7" s="85">
        <v>1.7399999999999999E-2</v>
      </c>
      <c r="F7" s="83">
        <v>1.6500000000000001E-2</v>
      </c>
      <c r="G7" s="83">
        <v>1.5699999999999999E-2</v>
      </c>
      <c r="H7" s="83">
        <v>1.4800000000000001E-2</v>
      </c>
      <c r="I7" s="83">
        <v>1.3899999999999999E-2</v>
      </c>
      <c r="J7" s="83">
        <v>1.2200000000000001E-2</v>
      </c>
      <c r="K7" s="172"/>
      <c r="L7" s="5"/>
      <c r="M7" s="24">
        <v>0.01</v>
      </c>
      <c r="N7" s="5"/>
    </row>
    <row r="8" spans="1:15" ht="14.25">
      <c r="A8" s="5"/>
      <c r="B8" s="102" t="s">
        <v>17</v>
      </c>
      <c r="C8" s="175">
        <v>1.6899999999999998E-2</v>
      </c>
      <c r="D8" s="86">
        <v>1.6E-2</v>
      </c>
      <c r="E8" s="86">
        <v>1.54E-2</v>
      </c>
      <c r="F8" s="86">
        <v>1.46E-2</v>
      </c>
      <c r="G8" s="86">
        <v>1.3899999999999999E-2</v>
      </c>
      <c r="H8" s="86">
        <v>1.3100000000000001E-2</v>
      </c>
      <c r="I8" s="86">
        <v>1.23E-2</v>
      </c>
      <c r="J8" s="86">
        <v>1.0800000000000001E-2</v>
      </c>
      <c r="K8" s="172"/>
      <c r="L8" s="5"/>
      <c r="M8" s="24">
        <v>1.4999999999999999E-2</v>
      </c>
      <c r="N8" s="5"/>
    </row>
    <row r="9" spans="1:15" ht="15" thickBot="1">
      <c r="A9" s="5"/>
      <c r="B9" s="103" t="s">
        <v>18</v>
      </c>
      <c r="C9" s="176">
        <v>1.6E-2</v>
      </c>
      <c r="D9" s="86">
        <v>1.5100000000000001E-2</v>
      </c>
      <c r="E9" s="84">
        <v>1.4500000000000001E-2</v>
      </c>
      <c r="F9" s="87">
        <v>1.38E-2</v>
      </c>
      <c r="G9" s="87">
        <v>1.3100000000000001E-2</v>
      </c>
      <c r="H9" s="87">
        <v>1.23E-2</v>
      </c>
      <c r="I9" s="87">
        <v>1.1599999999999999E-2</v>
      </c>
      <c r="J9" s="87">
        <v>1.0200000000000001E-2</v>
      </c>
      <c r="K9" s="172"/>
      <c r="L9" s="5"/>
      <c r="M9" s="24">
        <v>0.02</v>
      </c>
      <c r="N9" s="5"/>
    </row>
    <row r="10" spans="1:15" ht="14.25">
      <c r="A10" s="5"/>
      <c r="B10" s="82" t="s">
        <v>19</v>
      </c>
      <c r="C10" s="83">
        <v>3.2399999999999998E-2</v>
      </c>
      <c r="D10" s="83">
        <v>2.92E-2</v>
      </c>
      <c r="E10" s="86">
        <v>2.7E-2</v>
      </c>
      <c r="F10" s="83">
        <v>2.5100000000000001E-2</v>
      </c>
      <c r="G10" s="83">
        <v>2.3199999999999998E-2</v>
      </c>
      <c r="H10" s="83">
        <v>2.1600000000000001E-2</v>
      </c>
      <c r="I10" s="83">
        <v>2.0299999999999999E-2</v>
      </c>
      <c r="J10" s="83">
        <v>1.7600000000000001E-2</v>
      </c>
      <c r="K10" s="172"/>
      <c r="L10" s="5"/>
      <c r="M10" s="24">
        <v>2.5000000000000001E-2</v>
      </c>
      <c r="N10" s="5"/>
    </row>
    <row r="11" spans="1:15" ht="15" thickBot="1">
      <c r="A11" s="5"/>
      <c r="B11" s="89" t="s">
        <v>20</v>
      </c>
      <c r="C11" s="84">
        <v>2.69E-2</v>
      </c>
      <c r="D11" s="84">
        <v>2.4199999999999999E-2</v>
      </c>
      <c r="E11" s="84">
        <v>2.24E-2</v>
      </c>
      <c r="F11" s="84">
        <v>2.0799999999999999E-2</v>
      </c>
      <c r="G11" s="84">
        <v>1.9300000000000001E-2</v>
      </c>
      <c r="H11" s="84">
        <v>1.7899999999999999E-2</v>
      </c>
      <c r="I11" s="84">
        <v>1.6799999999999999E-2</v>
      </c>
      <c r="J11" s="84">
        <v>1.46E-2</v>
      </c>
      <c r="K11" s="172"/>
      <c r="L11" s="5"/>
      <c r="M11" s="24">
        <v>0.05</v>
      </c>
      <c r="N11" s="5"/>
    </row>
    <row r="12" spans="1:15">
      <c r="A12" s="5"/>
      <c r="B12" s="82" t="s">
        <v>21</v>
      </c>
      <c r="C12" s="83">
        <v>1.2999999999999999E-2</v>
      </c>
      <c r="D12" s="83">
        <v>1.24E-2</v>
      </c>
      <c r="E12" s="86">
        <v>1.2E-2</v>
      </c>
      <c r="F12" s="83">
        <v>1.1599999999999999E-2</v>
      </c>
      <c r="G12" s="83">
        <v>1.1299999999999999E-2</v>
      </c>
      <c r="H12" s="83">
        <v>1.09E-2</v>
      </c>
      <c r="I12" s="83">
        <v>1.06E-2</v>
      </c>
      <c r="J12" s="83">
        <v>9.4000000000000004E-3</v>
      </c>
      <c r="K12" s="172"/>
      <c r="L12" s="5"/>
      <c r="M12" s="41">
        <f ca="1">OFFSET(M3,L4,,)</f>
        <v>0</v>
      </c>
      <c r="N12" s="5"/>
    </row>
    <row r="13" spans="1:15" ht="15" thickBot="1">
      <c r="A13" s="5"/>
      <c r="B13" s="89" t="s">
        <v>22</v>
      </c>
      <c r="C13" s="176">
        <v>1.1900000000000001E-2</v>
      </c>
      <c r="D13" s="86">
        <v>1.1299999999999999E-2</v>
      </c>
      <c r="E13" s="87">
        <v>1.0999999999999999E-2</v>
      </c>
      <c r="F13" s="87">
        <v>1.0699999999999999E-2</v>
      </c>
      <c r="G13" s="87">
        <v>1.03E-2</v>
      </c>
      <c r="H13" s="87">
        <v>0.01</v>
      </c>
      <c r="I13" s="87">
        <v>9.7000000000000003E-3</v>
      </c>
      <c r="J13" s="87">
        <v>8.6E-3</v>
      </c>
      <c r="K13" s="172"/>
      <c r="L13" s="5"/>
      <c r="M13" s="5"/>
      <c r="N13" s="5"/>
      <c r="O13" s="5"/>
    </row>
    <row r="14" spans="1:15" ht="14.25">
      <c r="A14" s="5"/>
      <c r="B14" s="82" t="s">
        <v>13</v>
      </c>
      <c r="C14" s="83">
        <v>0.10299999999999999</v>
      </c>
      <c r="D14" s="85">
        <v>9.8299999999999998E-2</v>
      </c>
      <c r="E14" s="85">
        <v>9.5399999999999999E-2</v>
      </c>
      <c r="F14" s="85">
        <v>9.2499999999999999E-2</v>
      </c>
      <c r="G14" s="85">
        <v>8.9700000000000002E-2</v>
      </c>
      <c r="H14" s="85">
        <v>8.6800000000000002E-2</v>
      </c>
      <c r="I14" s="85">
        <v>8.4000000000000005E-2</v>
      </c>
      <c r="J14" s="85">
        <v>7.4399999999999994E-2</v>
      </c>
      <c r="K14" s="172"/>
      <c r="L14" s="5"/>
      <c r="M14" s="5"/>
      <c r="N14" s="5"/>
      <c r="O14" s="5"/>
    </row>
    <row r="15" spans="1:15" ht="14.25">
      <c r="A15" s="5"/>
      <c r="B15" s="73" t="s">
        <v>0</v>
      </c>
      <c r="C15" s="175">
        <v>1.77E-2</v>
      </c>
      <c r="D15" s="86">
        <v>1.6899999999999998E-2</v>
      </c>
      <c r="E15" s="86">
        <v>1.6400000000000001E-2</v>
      </c>
      <c r="F15" s="86">
        <v>1.5900000000000001E-2</v>
      </c>
      <c r="G15" s="86">
        <v>1.54E-2</v>
      </c>
      <c r="H15" s="86">
        <v>1.49E-2</v>
      </c>
      <c r="I15" s="86">
        <v>1.44E-2</v>
      </c>
      <c r="J15" s="86">
        <v>1.2800000000000001E-2</v>
      </c>
      <c r="K15" s="172"/>
      <c r="L15" s="5"/>
      <c r="M15" s="5"/>
      <c r="N15" s="5"/>
      <c r="O15" s="5"/>
    </row>
    <row r="16" spans="1:15" ht="14.25">
      <c r="A16" s="5"/>
      <c r="B16" s="73" t="s">
        <v>1</v>
      </c>
      <c r="C16" s="175">
        <v>1.7100000000000001E-2</v>
      </c>
      <c r="D16" s="86">
        <v>1.6299999999999999E-2</v>
      </c>
      <c r="E16" s="86">
        <v>1.5800000000000002E-2</v>
      </c>
      <c r="F16" s="86">
        <v>1.5299999999999999E-2</v>
      </c>
      <c r="G16" s="86">
        <v>1.49E-2</v>
      </c>
      <c r="H16" s="86">
        <v>1.44E-2</v>
      </c>
      <c r="I16" s="86">
        <v>1.3899999999999999E-2</v>
      </c>
      <c r="J16" s="86">
        <v>1.23E-2</v>
      </c>
      <c r="K16" s="172"/>
      <c r="L16" s="5"/>
      <c r="M16" s="5"/>
      <c r="N16" s="5"/>
      <c r="O16" s="5"/>
    </row>
    <row r="17" spans="1:15" ht="15" thickBot="1">
      <c r="A17" s="5"/>
      <c r="B17" s="89" t="s">
        <v>2</v>
      </c>
      <c r="C17" s="177">
        <v>1.4E-2</v>
      </c>
      <c r="D17" s="88">
        <v>1.34E-2</v>
      </c>
      <c r="E17" s="88">
        <v>1.2999999999999999E-2</v>
      </c>
      <c r="F17" s="88">
        <v>1.26E-2</v>
      </c>
      <c r="G17" s="88">
        <v>1.2200000000000001E-2</v>
      </c>
      <c r="H17" s="88">
        <v>1.18E-2</v>
      </c>
      <c r="I17" s="88">
        <v>1.14E-2</v>
      </c>
      <c r="J17" s="88">
        <v>1.01E-2</v>
      </c>
      <c r="K17" s="172"/>
      <c r="L17" s="5"/>
      <c r="M17" s="5"/>
      <c r="N17" s="5"/>
      <c r="O17" s="5"/>
    </row>
    <row r="18" spans="1:15">
      <c r="A18" s="5"/>
      <c r="B18" s="40" t="str">
        <f ca="1">OFFSET(B4,A5,,)</f>
        <v>B2</v>
      </c>
      <c r="C18" s="5"/>
      <c r="D18" s="5"/>
      <c r="E18" s="5"/>
      <c r="F18" s="5"/>
      <c r="G18" s="5"/>
      <c r="H18" s="5"/>
      <c r="I18" s="5"/>
      <c r="J18" s="5"/>
      <c r="K18" s="173"/>
      <c r="L18" s="5"/>
      <c r="M18" s="5"/>
      <c r="N18" s="5"/>
      <c r="O18" s="5"/>
    </row>
    <row r="20" spans="1:15">
      <c r="B20" s="39" t="s">
        <v>103</v>
      </c>
    </row>
    <row r="21" spans="1:15">
      <c r="B21" s="9" t="s">
        <v>142</v>
      </c>
    </row>
    <row r="22" spans="1:15">
      <c r="B22" s="9" t="s">
        <v>137</v>
      </c>
    </row>
    <row r="23" spans="1:15">
      <c r="B23" s="9" t="s">
        <v>107</v>
      </c>
    </row>
    <row r="24" spans="1:15">
      <c r="B24" s="9" t="s">
        <v>108</v>
      </c>
    </row>
    <row r="25" spans="1:15">
      <c r="B25" s="9" t="s">
        <v>109</v>
      </c>
    </row>
    <row r="26" spans="1:15">
      <c r="B26" s="9" t="s">
        <v>110</v>
      </c>
    </row>
    <row r="27" spans="1:15">
      <c r="B27" s="9" t="s">
        <v>111</v>
      </c>
    </row>
    <row r="28" spans="1:15">
      <c r="B28" s="9" t="s">
        <v>112</v>
      </c>
    </row>
    <row r="29" spans="1:15">
      <c r="B29" s="9" t="s">
        <v>113</v>
      </c>
    </row>
    <row r="30" spans="1:15">
      <c r="B30" s="9" t="s">
        <v>104</v>
      </c>
    </row>
    <row r="31" spans="1:15">
      <c r="B31" s="9" t="s">
        <v>105</v>
      </c>
    </row>
    <row r="32" spans="1:15">
      <c r="B32" s="9" t="s">
        <v>143</v>
      </c>
    </row>
    <row r="33" spans="1:16">
      <c r="B33" s="9" t="s">
        <v>106</v>
      </c>
    </row>
    <row r="34" spans="1:16">
      <c r="B34" s="39" t="str">
        <f ca="1">OFFSET(B20,Коефіцієнти!A5,,)</f>
        <v>ЛА: легкові автомобілі виробництва інших країн</v>
      </c>
    </row>
    <row r="35" spans="1:16" s="112" customFormat="1">
      <c r="A35" s="65"/>
      <c r="B35" s="39"/>
      <c r="C35" s="9"/>
      <c r="D35" s="9"/>
      <c r="E35" s="9"/>
      <c r="F35" s="9"/>
      <c r="G35" s="9"/>
    </row>
    <row r="36" spans="1:16" s="112" customFormat="1">
      <c r="A36" s="65"/>
      <c r="B36" s="39" t="s">
        <v>182</v>
      </c>
      <c r="C36" s="9"/>
      <c r="D36" s="9"/>
      <c r="E36" s="9"/>
      <c r="F36" s="9"/>
      <c r="G36" s="9"/>
    </row>
    <row r="37" spans="1:16" s="112" customFormat="1">
      <c r="A37" s="65">
        <v>1</v>
      </c>
      <c r="B37" s="10" t="s">
        <v>253</v>
      </c>
      <c r="C37" s="9"/>
      <c r="D37" s="9"/>
      <c r="E37" s="9"/>
      <c r="F37" s="9"/>
      <c r="G37" s="9"/>
    </row>
    <row r="38" spans="1:16" s="112" customFormat="1">
      <c r="A38" s="65"/>
      <c r="B38" s="10" t="s">
        <v>254</v>
      </c>
      <c r="C38" s="9"/>
      <c r="D38" s="9"/>
      <c r="E38" s="9"/>
      <c r="F38" s="9"/>
      <c r="G38" s="9"/>
    </row>
    <row r="39" spans="1:16" s="112" customFormat="1">
      <c r="A39" s="65"/>
      <c r="B39" s="10" t="e">
        <f ca="1">IF(AND(A5&lt;3,#REF!&lt;800000,A51=3,B147=12,A208=1,A228=1,A216=1),"До першого страхового випадку","")</f>
        <v>#REF!</v>
      </c>
      <c r="C39" s="9"/>
      <c r="D39" s="204" t="e">
        <f ca="1">IF(AND(A5&lt;3,#REF!&lt;800000,A51=3,B147=12,A208=1,A228=1,A216=1),TRUE,FALSE)</f>
        <v>#REF!</v>
      </c>
      <c r="E39" s="9"/>
      <c r="F39" s="9"/>
      <c r="G39" s="9"/>
    </row>
    <row r="40" spans="1:16" s="112" customFormat="1">
      <c r="A40" s="65"/>
      <c r="B40" s="10" t="e">
        <f ca="1">IF(AND(A5&lt;3,#REF!&lt;300000.01,B147=12,(#REF!-#REF!)/365&gt;5,A208=1,A228=1,A216=1),"1 + 1","")</f>
        <v>#REF!</v>
      </c>
      <c r="C40" s="9"/>
      <c r="D40" s="204" t="e">
        <f ca="1">IF(AND(A5&lt;3,#REF!&lt;300000.01,B147=12,(#REF!-#REF!)/365&gt;5,A208=1,A228=1,A216=1),TRUE,FALSE)</f>
        <v>#REF!</v>
      </c>
      <c r="E40" s="9"/>
      <c r="F40" s="9"/>
      <c r="G40" s="9"/>
    </row>
    <row r="41" spans="1:16" s="112" customFormat="1">
      <c r="A41" s="65"/>
      <c r="B41" s="10"/>
      <c r="C41" s="9"/>
      <c r="D41" s="204"/>
      <c r="E41" s="9"/>
      <c r="F41" s="9"/>
      <c r="G41" s="9"/>
    </row>
    <row r="42" spans="1:16" s="112" customFormat="1">
      <c r="A42" s="65"/>
      <c r="B42" s="179" t="str">
        <f ca="1">OFFSET(B36,A37,,,)</f>
        <v>КАСКО</v>
      </c>
      <c r="C42" s="9"/>
      <c r="D42" s="9"/>
      <c r="E42" s="9"/>
      <c r="F42" s="9"/>
      <c r="G42" s="9"/>
    </row>
    <row r="43" spans="1:16" s="112" customFormat="1">
      <c r="A43" s="65"/>
      <c r="B43" s="39"/>
      <c r="C43" s="9"/>
      <c r="D43" s="9"/>
      <c r="E43" s="9"/>
      <c r="F43" s="9"/>
      <c r="G43" s="9"/>
    </row>
    <row r="44" spans="1:16" s="9" customFormat="1">
      <c r="A44" s="90"/>
      <c r="B44" s="290" t="s">
        <v>145</v>
      </c>
      <c r="C44" s="291"/>
      <c r="D44" s="291"/>
      <c r="E44" s="292"/>
      <c r="F44" s="292"/>
      <c r="G44" s="292"/>
      <c r="H44" s="291"/>
      <c r="I44" s="291"/>
      <c r="J44" s="291"/>
      <c r="K44" s="291"/>
      <c r="L44" s="291"/>
      <c r="M44" s="291"/>
      <c r="N44" s="291"/>
      <c r="O44" s="291"/>
      <c r="P44" s="291"/>
    </row>
    <row r="45" spans="1:16" s="9" customFormat="1" ht="32.25" customHeight="1">
      <c r="A45" s="90"/>
      <c r="B45" s="13"/>
      <c r="C45" s="12"/>
      <c r="D45" s="12"/>
      <c r="E45" s="293" t="s">
        <v>147</v>
      </c>
      <c r="F45" s="294"/>
      <c r="G45" s="294"/>
      <c r="H45" s="122"/>
      <c r="I45" s="12"/>
      <c r="J45" s="121"/>
      <c r="K45" s="121"/>
      <c r="L45" s="121"/>
      <c r="M45" s="121"/>
      <c r="N45" s="13"/>
      <c r="O45" s="13"/>
      <c r="P45" s="13"/>
    </row>
    <row r="46" spans="1:16" s="9" customFormat="1">
      <c r="A46" s="90"/>
      <c r="B46" s="123" t="s">
        <v>146</v>
      </c>
      <c r="C46" s="124"/>
      <c r="D46" s="125"/>
      <c r="E46" s="126">
        <v>0</v>
      </c>
      <c r="F46" s="126">
        <v>0.05</v>
      </c>
      <c r="G46" s="127">
        <v>0.1</v>
      </c>
      <c r="H46" s="128"/>
      <c r="I46" s="121"/>
      <c r="J46" s="121"/>
      <c r="K46" s="121"/>
      <c r="L46" s="121"/>
      <c r="M46" s="121"/>
      <c r="N46" s="13"/>
      <c r="O46" s="13"/>
      <c r="P46" s="13"/>
    </row>
    <row r="47" spans="1:16" s="9" customFormat="1">
      <c r="A47" s="90"/>
      <c r="B47" s="129" t="s">
        <v>148</v>
      </c>
      <c r="C47" s="130"/>
      <c r="D47" s="131"/>
      <c r="E47" s="16">
        <v>1.2</v>
      </c>
      <c r="F47" s="16">
        <v>1</v>
      </c>
      <c r="G47" s="132">
        <v>0.97</v>
      </c>
      <c r="H47" s="133"/>
      <c r="I47" s="113"/>
      <c r="J47" s="134"/>
      <c r="K47" s="134"/>
      <c r="L47" s="134"/>
      <c r="M47" s="134"/>
      <c r="N47" s="13"/>
      <c r="O47" s="13"/>
      <c r="P47" s="13"/>
    </row>
    <row r="48" spans="1:16" s="9" customFormat="1">
      <c r="A48" s="90"/>
      <c r="B48" s="129" t="s">
        <v>149</v>
      </c>
      <c r="C48" s="130"/>
      <c r="D48" s="131"/>
      <c r="E48" s="16">
        <v>1.3</v>
      </c>
      <c r="F48" s="16">
        <v>1</v>
      </c>
      <c r="G48" s="132">
        <v>1</v>
      </c>
      <c r="H48" s="133"/>
      <c r="I48" s="113"/>
      <c r="J48" s="134"/>
      <c r="K48" s="134"/>
      <c r="L48" s="134"/>
      <c r="M48" s="134"/>
      <c r="N48" s="13"/>
      <c r="O48" s="13"/>
      <c r="P48" s="13"/>
    </row>
    <row r="49" spans="1:17" s="9" customFormat="1">
      <c r="A49" s="90"/>
      <c r="B49" s="129" t="s">
        <v>150</v>
      </c>
      <c r="C49" s="130"/>
      <c r="D49" s="131"/>
      <c r="E49" s="16">
        <v>1.2</v>
      </c>
      <c r="F49" s="16">
        <v>1</v>
      </c>
      <c r="G49" s="132">
        <v>0.97</v>
      </c>
      <c r="H49" s="133"/>
      <c r="I49" s="113"/>
      <c r="J49" s="134"/>
      <c r="K49" s="134"/>
      <c r="L49" s="134"/>
      <c r="M49" s="134"/>
      <c r="N49" s="13"/>
      <c r="O49" s="13"/>
      <c r="P49" s="13"/>
    </row>
    <row r="50" spans="1:17" s="36" customFormat="1">
      <c r="A50" s="90"/>
      <c r="B50" s="39"/>
      <c r="C50" s="9"/>
      <c r="D50" s="9"/>
      <c r="E50" s="9"/>
      <c r="F50" s="9"/>
      <c r="G50" s="9"/>
    </row>
    <row r="51" spans="1:17" s="36" customFormat="1">
      <c r="A51" s="65">
        <v>1</v>
      </c>
      <c r="B51" s="135">
        <f>IF(A5=10,15%,0%)</f>
        <v>0</v>
      </c>
      <c r="C51" s="188" t="e">
        <f ca="1">IF(A5&lt;3,IF(#REF!&lt;500000.01,OFFSET(D47,,A51,,),OFFSET(D48,,A51,,)),IF(A5=10,1,OFFSET(D49,,A51,,)))</f>
        <v>#REF!</v>
      </c>
      <c r="D51" s="9"/>
      <c r="E51" s="9"/>
      <c r="F51" s="9"/>
      <c r="G51" s="9"/>
    </row>
    <row r="52" spans="1:17" s="36" customFormat="1">
      <c r="A52" s="90"/>
      <c r="B52" s="135">
        <f>IF(A5=10,15%,5%)</f>
        <v>0.05</v>
      </c>
      <c r="C52" s="9"/>
      <c r="D52" s="9"/>
      <c r="E52" s="9"/>
      <c r="F52" s="9"/>
      <c r="G52" s="9"/>
    </row>
    <row r="53" spans="1:17" s="36" customFormat="1">
      <c r="A53" s="90"/>
      <c r="B53" s="135">
        <f>IF(A5=10,15%,10%)</f>
        <v>0.1</v>
      </c>
      <c r="C53" s="9"/>
      <c r="D53" s="9"/>
      <c r="E53" s="9"/>
      <c r="F53" s="9"/>
      <c r="G53" s="9"/>
    </row>
    <row r="54" spans="1:17" s="112" customFormat="1">
      <c r="A54" s="65"/>
      <c r="B54" s="187">
        <f ca="1">OFFSET(B50,A51,,,)</f>
        <v>0</v>
      </c>
      <c r="C54" s="9"/>
      <c r="D54" s="9"/>
      <c r="E54" s="9"/>
      <c r="F54" s="9"/>
      <c r="G54" s="9"/>
    </row>
    <row r="55" spans="1:17" s="112" customFormat="1">
      <c r="A55" s="65"/>
      <c r="B55" s="39"/>
      <c r="C55" s="9"/>
      <c r="D55" s="9"/>
      <c r="E55" s="9"/>
      <c r="F55" s="9"/>
      <c r="G55" s="9"/>
    </row>
    <row r="56" spans="1:17" s="112" customFormat="1">
      <c r="A56" s="136"/>
      <c r="B56" s="9"/>
      <c r="C56" s="9"/>
      <c r="D56" s="137" t="s">
        <v>151</v>
      </c>
      <c r="E56" s="138"/>
      <c r="F56" s="138"/>
      <c r="G56" s="138"/>
      <c r="H56" s="138"/>
      <c r="J56" s="138"/>
      <c r="K56" s="138"/>
      <c r="L56" s="138"/>
      <c r="M56" s="138"/>
      <c r="N56" s="138"/>
      <c r="O56" s="138"/>
      <c r="P56" s="138"/>
      <c r="Q56" s="138"/>
    </row>
    <row r="57" spans="1:17" s="112" customFormat="1">
      <c r="A57" s="136"/>
      <c r="B57" s="109"/>
      <c r="C57" s="9"/>
      <c r="D57" s="139" t="s">
        <v>152</v>
      </c>
      <c r="E57" s="140"/>
      <c r="F57" s="141"/>
      <c r="G57" s="142" t="s">
        <v>158</v>
      </c>
      <c r="H57" s="107"/>
      <c r="J57" s="108"/>
      <c r="K57" s="108"/>
      <c r="L57" s="108"/>
      <c r="M57" s="108"/>
      <c r="N57" s="143"/>
      <c r="O57" s="143"/>
      <c r="P57" s="143"/>
      <c r="Q57" s="106"/>
    </row>
    <row r="58" spans="1:17" s="112" customFormat="1">
      <c r="A58" s="144">
        <v>1</v>
      </c>
      <c r="B58" s="104" t="s">
        <v>31</v>
      </c>
      <c r="C58" s="90" t="str">
        <f ca="1">OFFSET(B57,A58,)</f>
        <v>так</v>
      </c>
      <c r="D58" s="145" t="s">
        <v>153</v>
      </c>
      <c r="E58" s="140"/>
      <c r="F58" s="141"/>
      <c r="G58" s="146">
        <v>0.99</v>
      </c>
      <c r="H58" s="147">
        <f>IF(A58=2,G58,1)</f>
        <v>1</v>
      </c>
      <c r="J58" s="108"/>
      <c r="K58" s="108"/>
      <c r="L58" s="108"/>
      <c r="M58" s="108"/>
      <c r="N58" s="148"/>
      <c r="O58" s="148"/>
      <c r="P58" s="148"/>
      <c r="Q58" s="106"/>
    </row>
    <row r="59" spans="1:17" s="112" customFormat="1">
      <c r="A59" s="144"/>
      <c r="B59" s="104" t="s">
        <v>32</v>
      </c>
      <c r="C59" s="90"/>
      <c r="D59" s="145"/>
      <c r="E59" s="140"/>
      <c r="F59" s="141"/>
      <c r="G59" s="146"/>
      <c r="H59" s="147"/>
      <c r="J59" s="108"/>
      <c r="K59" s="108"/>
      <c r="L59" s="108"/>
      <c r="M59" s="108"/>
      <c r="N59" s="148"/>
      <c r="O59" s="148"/>
      <c r="P59" s="148"/>
      <c r="Q59" s="106"/>
    </row>
    <row r="60" spans="1:17" s="112" customFormat="1">
      <c r="A60" s="144">
        <v>1</v>
      </c>
      <c r="B60" s="104" t="s">
        <v>31</v>
      </c>
      <c r="C60" s="90" t="str">
        <f ca="1">OFFSET(B59,A60,)</f>
        <v>так</v>
      </c>
      <c r="D60" s="145" t="s">
        <v>154</v>
      </c>
      <c r="E60" s="140"/>
      <c r="F60" s="141"/>
      <c r="G60" s="146">
        <v>0.99</v>
      </c>
      <c r="H60" s="147">
        <f>IF(A60=2,G60,1)</f>
        <v>1</v>
      </c>
      <c r="J60" s="108"/>
      <c r="K60" s="108"/>
      <c r="L60" s="108"/>
      <c r="M60" s="108"/>
      <c r="N60" s="148"/>
      <c r="O60" s="148"/>
      <c r="P60" s="148"/>
      <c r="Q60" s="106"/>
    </row>
    <row r="61" spans="1:17" s="112" customFormat="1">
      <c r="A61" s="144"/>
      <c r="B61" s="104" t="s">
        <v>32</v>
      </c>
      <c r="C61" s="90"/>
      <c r="D61" s="145"/>
      <c r="E61" s="140"/>
      <c r="F61" s="141"/>
      <c r="G61" s="146"/>
      <c r="H61" s="147"/>
      <c r="J61" s="108"/>
      <c r="K61" s="108"/>
      <c r="L61" s="108"/>
      <c r="M61" s="108"/>
      <c r="N61" s="148"/>
      <c r="O61" s="148"/>
      <c r="P61" s="148"/>
      <c r="Q61" s="106"/>
    </row>
    <row r="62" spans="1:17" s="112" customFormat="1">
      <c r="A62" s="144">
        <v>1</v>
      </c>
      <c r="B62" s="104" t="s">
        <v>31</v>
      </c>
      <c r="C62" s="90" t="str">
        <f ca="1">OFFSET(B61,A62,)</f>
        <v>так</v>
      </c>
      <c r="D62" s="145" t="s">
        <v>155</v>
      </c>
      <c r="E62" s="140"/>
      <c r="F62" s="141"/>
      <c r="G62" s="146">
        <v>0.98</v>
      </c>
      <c r="H62" s="147">
        <f>IF(A62=2,G62,1)</f>
        <v>1</v>
      </c>
      <c r="J62" s="108"/>
      <c r="K62" s="108"/>
      <c r="L62" s="108"/>
      <c r="M62" s="108"/>
      <c r="N62" s="148"/>
      <c r="O62" s="148"/>
      <c r="P62" s="148"/>
      <c r="Q62" s="106"/>
    </row>
    <row r="63" spans="1:17" s="112" customFormat="1">
      <c r="A63" s="144"/>
      <c r="B63" s="104" t="s">
        <v>32</v>
      </c>
      <c r="C63" s="90"/>
      <c r="D63" s="145"/>
      <c r="E63" s="140"/>
      <c r="F63" s="141"/>
      <c r="G63" s="146"/>
      <c r="H63" s="147"/>
      <c r="J63" s="108"/>
      <c r="K63" s="108"/>
      <c r="L63" s="108"/>
      <c r="M63" s="108"/>
      <c r="N63" s="148"/>
      <c r="O63" s="148"/>
      <c r="P63" s="148"/>
      <c r="Q63" s="106"/>
    </row>
    <row r="64" spans="1:17" s="112" customFormat="1">
      <c r="A64" s="144">
        <v>1</v>
      </c>
      <c r="B64" s="104" t="s">
        <v>31</v>
      </c>
      <c r="C64" s="90" t="str">
        <f ca="1">OFFSET(B63,A64,)</f>
        <v>так</v>
      </c>
      <c r="D64" s="145" t="s">
        <v>156</v>
      </c>
      <c r="E64" s="140"/>
      <c r="F64" s="141"/>
      <c r="G64" s="146">
        <v>0.95</v>
      </c>
      <c r="H64" s="147">
        <f>IF(A64=2,G64,1)</f>
        <v>1</v>
      </c>
      <c r="J64" s="108"/>
      <c r="K64" s="108"/>
      <c r="L64" s="108"/>
      <c r="M64" s="108"/>
      <c r="N64" s="148"/>
      <c r="O64" s="148"/>
      <c r="P64" s="148"/>
      <c r="Q64" s="106"/>
    </row>
    <row r="65" spans="1:17" s="112" customFormat="1">
      <c r="A65" s="144"/>
      <c r="B65" s="104" t="s">
        <v>32</v>
      </c>
      <c r="C65" s="90"/>
      <c r="D65" s="145"/>
      <c r="E65" s="140"/>
      <c r="F65" s="141"/>
      <c r="G65" s="146"/>
      <c r="H65" s="147"/>
      <c r="J65" s="108"/>
      <c r="K65" s="108"/>
      <c r="L65" s="108"/>
      <c r="M65" s="108"/>
      <c r="N65" s="148"/>
      <c r="O65" s="148"/>
      <c r="P65" s="148"/>
      <c r="Q65" s="106"/>
    </row>
    <row r="66" spans="1:17" s="112" customFormat="1">
      <c r="A66" s="144">
        <v>1</v>
      </c>
      <c r="B66" s="104" t="s">
        <v>31</v>
      </c>
      <c r="C66" s="90" t="str">
        <f ca="1">OFFSET(B65,A66,)</f>
        <v>так</v>
      </c>
      <c r="D66" s="145" t="s">
        <v>157</v>
      </c>
      <c r="E66" s="140"/>
      <c r="F66" s="141"/>
      <c r="G66" s="146">
        <v>0.93</v>
      </c>
      <c r="H66" s="147">
        <f>IF(A66=2,G66,1)</f>
        <v>1</v>
      </c>
      <c r="J66" s="108"/>
      <c r="K66" s="108"/>
      <c r="L66" s="108"/>
      <c r="M66" s="108"/>
      <c r="N66" s="148"/>
      <c r="O66" s="148"/>
      <c r="P66" s="148"/>
      <c r="Q66" s="106"/>
    </row>
    <row r="67" spans="1:17" s="112" customFormat="1">
      <c r="A67" s="65"/>
      <c r="B67" s="104" t="s">
        <v>32</v>
      </c>
      <c r="C67" s="9"/>
      <c r="D67" s="9"/>
      <c r="E67" s="9"/>
      <c r="F67" s="9"/>
      <c r="G67" s="9"/>
      <c r="H67" s="206">
        <f>PRODUCT(H58:H66)</f>
        <v>1</v>
      </c>
    </row>
    <row r="68" spans="1:17" s="112" customFormat="1">
      <c r="A68" s="65"/>
      <c r="B68" s="39"/>
      <c r="C68" s="9"/>
      <c r="D68" s="9"/>
      <c r="E68" s="9"/>
      <c r="F68" s="9"/>
      <c r="G68" s="9"/>
    </row>
    <row r="69" spans="1:17">
      <c r="A69" s="80"/>
      <c r="B69" s="67" t="s">
        <v>135</v>
      </c>
    </row>
    <row r="70" spans="1:17">
      <c r="A70" s="79">
        <v>1</v>
      </c>
      <c r="B70" s="43" t="s">
        <v>33</v>
      </c>
    </row>
    <row r="71" spans="1:17">
      <c r="A71" s="79"/>
      <c r="B71" s="43" t="s">
        <v>36</v>
      </c>
    </row>
    <row r="72" spans="1:17">
      <c r="A72" s="80"/>
      <c r="B72" s="67" t="str">
        <f ca="1">OFFSET(B69,A70,,)</f>
        <v>фізична особа</v>
      </c>
    </row>
    <row r="73" spans="1:17">
      <c r="B73" s="39"/>
    </row>
    <row r="74" spans="1:17">
      <c r="A74" s="80"/>
      <c r="B74" s="72" t="s">
        <v>136</v>
      </c>
    </row>
    <row r="75" spans="1:17">
      <c r="A75" s="79">
        <v>1</v>
      </c>
      <c r="B75" s="43" t="s">
        <v>31</v>
      </c>
    </row>
    <row r="76" spans="1:17">
      <c r="A76" s="79"/>
      <c r="B76" s="43" t="s">
        <v>32</v>
      </c>
    </row>
    <row r="77" spans="1:17">
      <c r="A77" s="80"/>
      <c r="B77" s="67" t="str">
        <f ca="1">OFFSET(B74,A75,,)</f>
        <v>так</v>
      </c>
    </row>
    <row r="78" spans="1:17">
      <c r="B78" s="39"/>
    </row>
    <row r="79" spans="1:17" ht="16.5">
      <c r="B79" s="50" t="s">
        <v>159</v>
      </c>
      <c r="C79" s="47"/>
      <c r="D79" s="47"/>
      <c r="E79" s="47"/>
      <c r="F79" s="47"/>
      <c r="G79" s="47"/>
      <c r="H79" s="47"/>
    </row>
    <row r="80" spans="1:17" ht="16.5">
      <c r="D80" s="287" t="s">
        <v>114</v>
      </c>
      <c r="E80" s="288"/>
      <c r="F80" s="289"/>
      <c r="H80" s="45"/>
    </row>
    <row r="81" spans="1:11" ht="63.75">
      <c r="B81" s="61" t="s">
        <v>3</v>
      </c>
      <c r="C81" s="61" t="s">
        <v>4</v>
      </c>
      <c r="D81" s="60" t="s">
        <v>115</v>
      </c>
      <c r="E81" s="48" t="s">
        <v>117</v>
      </c>
      <c r="F81" s="48" t="s">
        <v>116</v>
      </c>
      <c r="G81" s="51"/>
      <c r="H81" s="46" t="str">
        <f>IF(A75=2,"0","")</f>
        <v/>
      </c>
      <c r="I81" s="52">
        <v>1</v>
      </c>
    </row>
    <row r="82" spans="1:11" ht="16.5">
      <c r="A82" s="65">
        <v>4</v>
      </c>
      <c r="B82" s="53" t="str">
        <f>IF($A$75=2,"КЛ0","")</f>
        <v/>
      </c>
      <c r="C82" s="54">
        <v>1.2</v>
      </c>
      <c r="D82" s="55" t="s">
        <v>5</v>
      </c>
      <c r="E82" s="38" t="s">
        <v>37</v>
      </c>
      <c r="F82" s="38" t="s">
        <v>37</v>
      </c>
      <c r="H82" s="46" t="str">
        <f>IF(A75=2,"1-2, та відшкодування менше страхового платежу","")</f>
        <v/>
      </c>
    </row>
    <row r="83" spans="1:11" ht="16.5">
      <c r="B83" s="53" t="str">
        <f>IF($A$75=2,"КЛ1","")</f>
        <v/>
      </c>
      <c r="C83" s="54">
        <v>1.1000000000000001</v>
      </c>
      <c r="D83" s="55" t="s">
        <v>6</v>
      </c>
      <c r="E83" s="38" t="s">
        <v>5</v>
      </c>
      <c r="F83" s="38" t="s">
        <v>37</v>
      </c>
      <c r="H83" s="46" t="str">
        <f>IF(A75=2,"більше 2, чи відшкодування більше страхового платежу","")</f>
        <v/>
      </c>
    </row>
    <row r="84" spans="1:11" ht="16.5">
      <c r="B84" s="53" t="str">
        <f>IF($A$75=2,"КЛ2","")</f>
        <v/>
      </c>
      <c r="C84" s="54">
        <v>1.05</v>
      </c>
      <c r="D84" s="55" t="s">
        <v>7</v>
      </c>
      <c r="E84" s="38" t="s">
        <v>6</v>
      </c>
      <c r="F84" s="38" t="s">
        <v>37</v>
      </c>
      <c r="H84" s="74" t="str">
        <f ca="1">OFFSET(H80,I81,,)</f>
        <v/>
      </c>
    </row>
    <row r="85" spans="1:11" ht="16.5">
      <c r="B85" s="53" t="str">
        <f>IF($A$75=2,"КЛ3","")</f>
        <v/>
      </c>
      <c r="C85" s="56">
        <v>1</v>
      </c>
      <c r="D85" s="57" t="s">
        <v>38</v>
      </c>
      <c r="E85" s="58" t="s">
        <v>7</v>
      </c>
      <c r="F85" s="58" t="s">
        <v>5</v>
      </c>
    </row>
    <row r="86" spans="1:11" ht="16.5">
      <c r="B86" s="53" t="str">
        <f>IF($A$75=2,"КЛ4","")</f>
        <v/>
      </c>
      <c r="C86" s="54">
        <v>0.94</v>
      </c>
      <c r="D86" s="55" t="s">
        <v>39</v>
      </c>
      <c r="E86" s="38" t="s">
        <v>38</v>
      </c>
      <c r="F86" s="38" t="s">
        <v>6</v>
      </c>
    </row>
    <row r="87" spans="1:11" ht="16.5">
      <c r="B87" s="53" t="str">
        <f>IF($A$75=2,"КЛ5","")</f>
        <v/>
      </c>
      <c r="C87" s="54">
        <v>0.89</v>
      </c>
      <c r="D87" s="55" t="s">
        <v>40</v>
      </c>
      <c r="E87" s="38" t="s">
        <v>39</v>
      </c>
      <c r="F87" s="38" t="s">
        <v>7</v>
      </c>
    </row>
    <row r="88" spans="1:11" ht="16.5">
      <c r="B88" s="53" t="str">
        <f>IF($A$75=2,"КЛ6","")</f>
        <v/>
      </c>
      <c r="C88" s="54">
        <f>0.85</f>
        <v>0.85</v>
      </c>
      <c r="D88" s="55" t="s">
        <v>138</v>
      </c>
      <c r="E88" s="38" t="s">
        <v>40</v>
      </c>
      <c r="F88" s="38" t="s">
        <v>7</v>
      </c>
      <c r="H88" s="59" t="str">
        <f ca="1">OFFSET(C81,A82,I81,)</f>
        <v>КЛ4</v>
      </c>
    </row>
    <row r="89" spans="1:11" ht="16.5">
      <c r="B89" s="53" t="str">
        <f>IF($A$75=2,"КЛ7","")</f>
        <v/>
      </c>
      <c r="C89" s="54">
        <v>0.81</v>
      </c>
      <c r="D89" s="55" t="s">
        <v>139</v>
      </c>
      <c r="E89" s="38" t="s">
        <v>138</v>
      </c>
      <c r="F89" s="38" t="s">
        <v>7</v>
      </c>
      <c r="H89" s="49"/>
    </row>
    <row r="90" spans="1:11" ht="18">
      <c r="B90" s="53" t="str">
        <f>IF($A$75=2,"КЛ8","")</f>
        <v/>
      </c>
      <c r="C90" s="54">
        <f>0.77</f>
        <v>0.77</v>
      </c>
      <c r="D90" s="55" t="s">
        <v>139</v>
      </c>
      <c r="E90" s="38" t="s">
        <v>139</v>
      </c>
      <c r="F90" s="38" t="s">
        <v>7</v>
      </c>
      <c r="H90" s="62" t="e">
        <f ca="1">VLOOKUP(H88,B82:C90,2,)</f>
        <v>#N/A</v>
      </c>
    </row>
    <row r="91" spans="1:11">
      <c r="B91" s="39" t="str">
        <f ca="1">OFFSET(B81,A82,,,)</f>
        <v/>
      </c>
    </row>
    <row r="92" spans="1:11" s="216" customFormat="1">
      <c r="A92" s="65"/>
      <c r="B92" s="39"/>
      <c r="C92" s="9"/>
      <c r="D92" s="9"/>
      <c r="E92" s="9"/>
      <c r="F92" s="9"/>
      <c r="G92" s="9"/>
    </row>
    <row r="93" spans="1:11" s="220" customFormat="1" ht="16.5">
      <c r="A93" s="218"/>
      <c r="B93" s="295" t="s">
        <v>160</v>
      </c>
      <c r="C93" s="295"/>
      <c r="D93" s="295"/>
      <c r="E93" s="295"/>
      <c r="F93" s="295"/>
      <c r="G93" s="219"/>
      <c r="H93" s="219"/>
      <c r="I93" s="219"/>
    </row>
    <row r="94" spans="1:11" s="220" customFormat="1" ht="16.5">
      <c r="A94" s="218"/>
      <c r="B94" s="221"/>
      <c r="C94" s="298" t="s">
        <v>118</v>
      </c>
      <c r="D94" s="299"/>
      <c r="E94" s="299"/>
      <c r="F94" s="299"/>
      <c r="G94" s="299"/>
      <c r="H94" s="299"/>
      <c r="I94" s="219"/>
      <c r="J94" s="219"/>
    </row>
    <row r="95" spans="1:11" s="220" customFormat="1" ht="16.5">
      <c r="A95" s="218"/>
      <c r="B95" s="221"/>
      <c r="C95" s="298" t="s">
        <v>10</v>
      </c>
      <c r="D95" s="299"/>
      <c r="E95" s="299"/>
      <c r="F95" s="299"/>
      <c r="G95" s="305" t="s">
        <v>11</v>
      </c>
      <c r="H95" s="299"/>
      <c r="I95" s="219"/>
      <c r="J95" s="219"/>
    </row>
    <row r="96" spans="1:11" s="220" customFormat="1" ht="16.5">
      <c r="A96" s="218"/>
      <c r="B96" s="219"/>
      <c r="C96" s="298" t="s">
        <v>24</v>
      </c>
      <c r="D96" s="299"/>
      <c r="E96" s="303" t="s">
        <v>25</v>
      </c>
      <c r="F96" s="304"/>
      <c r="G96" s="246" t="s">
        <v>24</v>
      </c>
      <c r="H96" s="246" t="s">
        <v>25</v>
      </c>
      <c r="I96" s="219"/>
      <c r="J96" s="222" t="e">
        <f>IF(OR(#REF!&gt;7,AND(OR(Коефіцієнти!A5&lt;3,Коефіцієнти!A5=10),#REF!&gt;5,#REF!&lt;=250000)),"з врахуванням зносу","без врахування зносу")</f>
        <v>#REF!</v>
      </c>
      <c r="K96" s="223">
        <v>1</v>
      </c>
    </row>
    <row r="97" spans="1:11" s="220" customFormat="1" ht="33">
      <c r="A97" s="218"/>
      <c r="B97" s="222" t="s">
        <v>8</v>
      </c>
      <c r="C97" s="236" t="s">
        <v>316</v>
      </c>
      <c r="D97" s="236" t="s">
        <v>315</v>
      </c>
      <c r="E97" s="236" t="s">
        <v>316</v>
      </c>
      <c r="F97" s="236" t="s">
        <v>315</v>
      </c>
      <c r="G97" s="247"/>
      <c r="H97" s="247"/>
      <c r="I97" s="224" t="e">
        <f ca="1">IF(LEFT(J98,1)="б",IF(OR(Коефіцієнти!A5&lt;3,Коефіцієнти!A5=10),IF(#REF!&lt;=250000,1,2),IF(#REF!&lt;=250000,3,4)),IF(OR(Коефіцієнти!A5&lt;3,Коефіцієнти!A5=10),5,6))</f>
        <v>#REF!</v>
      </c>
      <c r="J97" s="225" t="s">
        <v>11</v>
      </c>
      <c r="K97" s="226"/>
    </row>
    <row r="98" spans="1:11" s="220" customFormat="1" ht="16.5">
      <c r="A98" s="218"/>
      <c r="B98" s="227" t="s">
        <v>119</v>
      </c>
      <c r="C98" s="257">
        <v>1</v>
      </c>
      <c r="D98" s="257">
        <v>1</v>
      </c>
      <c r="E98" s="257">
        <v>1</v>
      </c>
      <c r="F98" s="257">
        <v>1</v>
      </c>
      <c r="G98" s="235">
        <v>1</v>
      </c>
      <c r="H98" s="235">
        <v>1</v>
      </c>
      <c r="I98" s="230"/>
      <c r="J98" s="238" t="e">
        <f ca="1">OFFSET(J95,K96,,)</f>
        <v>#REF!</v>
      </c>
      <c r="K98" s="226"/>
    </row>
    <row r="99" spans="1:11" s="220" customFormat="1" ht="16.5">
      <c r="A99" s="218"/>
      <c r="B99" s="227" t="s">
        <v>120</v>
      </c>
      <c r="C99" s="228">
        <v>1.01</v>
      </c>
      <c r="D99" s="228">
        <v>1.01</v>
      </c>
      <c r="E99" s="228">
        <v>1.08</v>
      </c>
      <c r="F99" s="228">
        <v>1.08</v>
      </c>
      <c r="G99" s="229">
        <v>1.01</v>
      </c>
      <c r="H99" s="229">
        <v>1.06</v>
      </c>
      <c r="I99" s="230"/>
      <c r="J99" s="231"/>
      <c r="K99" s="226"/>
    </row>
    <row r="100" spans="1:11" s="220" customFormat="1" ht="18">
      <c r="A100" s="218"/>
      <c r="B100" s="227" t="s">
        <v>121</v>
      </c>
      <c r="C100" s="228">
        <v>1.1599999999999999</v>
      </c>
      <c r="D100" s="228">
        <v>1.1599999999999999</v>
      </c>
      <c r="E100" s="228">
        <v>1.1499999999999999</v>
      </c>
      <c r="F100" s="228">
        <v>1.1499999999999999</v>
      </c>
      <c r="G100" s="229">
        <v>1.02</v>
      </c>
      <c r="H100" s="229">
        <v>1.08</v>
      </c>
      <c r="I100" s="230"/>
      <c r="J100" s="232" t="e">
        <f ca="1">OFFSET(B97,#REF!+1,I97,,)</f>
        <v>#REF!</v>
      </c>
      <c r="K100" s="226"/>
    </row>
    <row r="101" spans="1:11" s="220" customFormat="1" ht="16.5">
      <c r="A101" s="218"/>
      <c r="B101" s="227" t="s">
        <v>122</v>
      </c>
      <c r="C101" s="228">
        <v>1.27</v>
      </c>
      <c r="D101" s="228">
        <v>1.27</v>
      </c>
      <c r="E101" s="228">
        <v>1.2</v>
      </c>
      <c r="F101" s="228">
        <v>1.2</v>
      </c>
      <c r="G101" s="229">
        <v>1.03</v>
      </c>
      <c r="H101" s="229">
        <v>1.1000000000000001</v>
      </c>
      <c r="I101" s="233"/>
      <c r="J101" s="226"/>
    </row>
    <row r="102" spans="1:11" s="220" customFormat="1" ht="16.5">
      <c r="A102" s="218"/>
      <c r="B102" s="227" t="s">
        <v>123</v>
      </c>
      <c r="C102" s="228">
        <v>1.35</v>
      </c>
      <c r="D102" s="228">
        <v>1.35</v>
      </c>
      <c r="E102" s="228">
        <v>1.25</v>
      </c>
      <c r="F102" s="228">
        <v>1.25</v>
      </c>
      <c r="G102" s="229">
        <v>1.08</v>
      </c>
      <c r="H102" s="229">
        <v>1.1499999999999999</v>
      </c>
      <c r="I102" s="233"/>
      <c r="J102" s="226"/>
    </row>
    <row r="103" spans="1:11" s="220" customFormat="1" ht="16.5">
      <c r="A103" s="218"/>
      <c r="B103" s="227" t="s">
        <v>124</v>
      </c>
      <c r="C103" s="228">
        <v>1.4500000000000002</v>
      </c>
      <c r="D103" s="228">
        <v>1.4500000000000002</v>
      </c>
      <c r="E103" s="228">
        <v>1.3</v>
      </c>
      <c r="F103" s="228">
        <v>1.3</v>
      </c>
      <c r="G103" s="229">
        <v>1.1200000000000001</v>
      </c>
      <c r="H103" s="229">
        <v>1.17</v>
      </c>
      <c r="I103" s="233"/>
      <c r="J103" s="226"/>
    </row>
    <row r="104" spans="1:11" s="220" customFormat="1" ht="16.5">
      <c r="A104" s="218"/>
      <c r="B104" s="227" t="s">
        <v>125</v>
      </c>
      <c r="C104" s="237"/>
      <c r="D104" s="228">
        <v>1.5499999999999998</v>
      </c>
      <c r="E104" s="237"/>
      <c r="F104" s="228">
        <v>1.4</v>
      </c>
      <c r="G104" s="229">
        <v>1.1599999999999999</v>
      </c>
      <c r="H104" s="229">
        <v>1.18</v>
      </c>
      <c r="I104" s="233"/>
      <c r="J104" s="226"/>
    </row>
    <row r="105" spans="1:11" s="220" customFormat="1" ht="16.5">
      <c r="A105" s="218"/>
      <c r="B105" s="227" t="s">
        <v>126</v>
      </c>
      <c r="C105" s="237"/>
      <c r="D105" s="228">
        <v>1.6500000000000001</v>
      </c>
      <c r="E105" s="237"/>
      <c r="F105" s="228">
        <v>1.55</v>
      </c>
      <c r="G105" s="229">
        <v>1.22</v>
      </c>
      <c r="H105" s="229">
        <v>1.19</v>
      </c>
      <c r="I105" s="233"/>
      <c r="J105" s="226"/>
    </row>
    <row r="106" spans="1:11" s="220" customFormat="1" ht="16.5">
      <c r="A106" s="218"/>
      <c r="B106" s="227" t="s">
        <v>127</v>
      </c>
      <c r="C106" s="237"/>
      <c r="D106" s="228"/>
      <c r="E106" s="237"/>
      <c r="F106" s="228"/>
      <c r="G106" s="229">
        <v>1.27</v>
      </c>
      <c r="H106" s="229">
        <v>1.2</v>
      </c>
      <c r="I106" s="233"/>
      <c r="J106" s="226"/>
    </row>
    <row r="107" spans="1:11" s="220" customFormat="1" ht="16.5">
      <c r="A107" s="218"/>
      <c r="B107" s="227" t="s">
        <v>128</v>
      </c>
      <c r="C107" s="237"/>
      <c r="D107" s="228"/>
      <c r="E107" s="237"/>
      <c r="F107" s="228"/>
      <c r="G107" s="229">
        <v>1.35</v>
      </c>
      <c r="H107" s="229">
        <v>1.22</v>
      </c>
      <c r="I107" s="233"/>
      <c r="J107" s="226"/>
    </row>
    <row r="108" spans="1:11" s="220" customFormat="1" ht="16.5">
      <c r="A108" s="218"/>
      <c r="B108" s="227" t="s">
        <v>129</v>
      </c>
      <c r="C108" s="227"/>
      <c r="D108" s="227"/>
      <c r="E108" s="237"/>
      <c r="F108" s="237"/>
      <c r="G108" s="229">
        <v>1.44</v>
      </c>
      <c r="H108" s="229">
        <v>1.25</v>
      </c>
      <c r="I108" s="233"/>
      <c r="J108" s="226"/>
    </row>
    <row r="109" spans="1:11" s="220" customFormat="1" ht="16.5">
      <c r="A109" s="218"/>
      <c r="B109" s="227" t="s">
        <v>130</v>
      </c>
      <c r="C109" s="227"/>
      <c r="D109" s="227"/>
      <c r="E109" s="237"/>
      <c r="F109" s="237"/>
      <c r="G109" s="229">
        <v>1.55</v>
      </c>
      <c r="H109" s="229">
        <v>1.27</v>
      </c>
      <c r="I109" s="233"/>
      <c r="J109" s="226"/>
    </row>
    <row r="110" spans="1:11" s="220" customFormat="1" ht="16.5">
      <c r="A110" s="218"/>
      <c r="B110" s="227" t="s">
        <v>131</v>
      </c>
      <c r="C110" s="227"/>
      <c r="D110" s="227"/>
      <c r="E110" s="237"/>
      <c r="F110" s="237"/>
      <c r="G110" s="229">
        <v>1.68</v>
      </c>
      <c r="H110" s="229">
        <v>1.3</v>
      </c>
      <c r="I110" s="233"/>
      <c r="J110" s="226"/>
    </row>
    <row r="111" spans="1:11" s="220" customFormat="1" ht="16.5">
      <c r="A111" s="218"/>
      <c r="B111" s="227" t="s">
        <v>132</v>
      </c>
      <c r="C111" s="227"/>
      <c r="D111" s="227"/>
      <c r="E111" s="237"/>
      <c r="F111" s="237"/>
      <c r="G111" s="229">
        <v>1.8</v>
      </c>
      <c r="H111" s="229">
        <v>1.32</v>
      </c>
      <c r="I111" s="233"/>
      <c r="J111" s="226"/>
    </row>
    <row r="112" spans="1:11" s="220" customFormat="1" ht="16.5">
      <c r="A112" s="218"/>
      <c r="B112" s="227" t="s">
        <v>133</v>
      </c>
      <c r="C112" s="227"/>
      <c r="D112" s="227"/>
      <c r="E112" s="237"/>
      <c r="F112" s="237"/>
      <c r="G112" s="229">
        <v>1.96</v>
      </c>
      <c r="H112" s="229">
        <v>1.34</v>
      </c>
      <c r="I112" s="233"/>
      <c r="J112" s="226"/>
    </row>
    <row r="113" spans="1:10" s="220" customFormat="1" ht="16.5">
      <c r="A113" s="218"/>
      <c r="B113" s="227" t="s">
        <v>134</v>
      </c>
      <c r="C113" s="227"/>
      <c r="D113" s="227"/>
      <c r="E113" s="237"/>
      <c r="F113" s="237"/>
      <c r="G113" s="228">
        <v>2.15</v>
      </c>
      <c r="H113" s="229">
        <v>1.36</v>
      </c>
      <c r="I113" s="233"/>
      <c r="J113" s="234"/>
    </row>
    <row r="114" spans="1:10" s="216" customFormat="1">
      <c r="A114" s="65"/>
      <c r="B114" s="39"/>
      <c r="C114" s="9"/>
      <c r="D114" s="9"/>
      <c r="E114" s="9"/>
      <c r="F114" s="9"/>
      <c r="G114" s="9"/>
    </row>
    <row r="115" spans="1:10" s="220" customFormat="1">
      <c r="A115" s="218"/>
      <c r="B115" s="258" t="s">
        <v>330</v>
      </c>
      <c r="C115" s="258"/>
      <c r="D115" s="258"/>
      <c r="E115" s="258"/>
      <c r="F115" s="258"/>
      <c r="G115" s="258"/>
      <c r="H115" s="258"/>
      <c r="I115" s="258"/>
    </row>
    <row r="116" spans="1:10" s="220" customFormat="1">
      <c r="A116" s="267">
        <v>1</v>
      </c>
      <c r="B116" s="268" t="s">
        <v>32</v>
      </c>
      <c r="C116" s="221"/>
      <c r="D116" s="269">
        <v>1</v>
      </c>
      <c r="E116" s="221"/>
      <c r="G116" s="258"/>
      <c r="H116" s="258"/>
      <c r="I116" s="258"/>
    </row>
    <row r="117" spans="1:10" s="220" customFormat="1">
      <c r="A117" s="267"/>
      <c r="B117" s="268" t="e">
        <f ca="1">IF(AND(LEFT(J98,1)="б",D117&lt;&gt;"-"),"обраній Страховиком","ні")</f>
        <v>#REF!</v>
      </c>
      <c r="C117" s="221"/>
      <c r="D117" s="269" t="e">
        <f ca="1">OFFSET(B122,#REF!+1,IF(#REF!&lt;=250000,1,2),,)</f>
        <v>#REF!</v>
      </c>
      <c r="E117" s="221"/>
      <c r="G117" s="258"/>
      <c r="H117" s="258"/>
      <c r="I117" s="258"/>
    </row>
    <row r="118" spans="1:10" s="220" customFormat="1">
      <c r="A118" s="267"/>
      <c r="B118" s="268" t="e">
        <f ca="1">IF(AND(LEFT(J98,1)="б",D118&lt;&gt;"-"),"обраній Страхувальником","ні")</f>
        <v>#REF!</v>
      </c>
      <c r="C118" s="221"/>
      <c r="D118" s="269" t="e">
        <f ca="1">OFFSET(B122,#REF!+1,2+IF(#REF!&lt;=250000,1,2),,)</f>
        <v>#REF!</v>
      </c>
      <c r="E118" s="221"/>
      <c r="G118" s="258"/>
      <c r="H118" s="258"/>
      <c r="I118" s="258"/>
    </row>
    <row r="119" spans="1:10" s="220" customFormat="1">
      <c r="A119" s="218"/>
      <c r="B119" s="270" t="str">
        <f ca="1">OFFSET(B115,A116,,)</f>
        <v>ні</v>
      </c>
      <c r="C119" s="221"/>
      <c r="D119" s="271">
        <f ca="1">IF(LEFT(B119,1)="н",1,OFFSET(D115,A116,,,))</f>
        <v>1</v>
      </c>
      <c r="E119" s="221"/>
      <c r="G119" s="258"/>
      <c r="H119" s="258"/>
      <c r="I119" s="258"/>
    </row>
    <row r="120" spans="1:10" s="220" customFormat="1">
      <c r="A120" s="218"/>
      <c r="B120" s="300" t="s">
        <v>326</v>
      </c>
      <c r="C120" s="300" t="s">
        <v>9</v>
      </c>
      <c r="D120" s="301"/>
      <c r="E120" s="301"/>
      <c r="F120" s="301"/>
      <c r="G120" s="226"/>
      <c r="H120" s="259"/>
      <c r="I120" s="259"/>
    </row>
    <row r="121" spans="1:10" s="220" customFormat="1">
      <c r="A121" s="218"/>
      <c r="B121" s="301"/>
      <c r="C121" s="302" t="s">
        <v>327</v>
      </c>
      <c r="D121" s="302"/>
      <c r="E121" s="302" t="s">
        <v>328</v>
      </c>
      <c r="F121" s="301"/>
      <c r="G121" s="226"/>
      <c r="H121" s="260"/>
      <c r="I121" s="260"/>
    </row>
    <row r="122" spans="1:10" s="220" customFormat="1" ht="25.5">
      <c r="A122" s="218"/>
      <c r="B122" s="301"/>
      <c r="C122" s="261" t="s">
        <v>329</v>
      </c>
      <c r="D122" s="261" t="s">
        <v>315</v>
      </c>
      <c r="E122" s="261" t="s">
        <v>329</v>
      </c>
      <c r="F122" s="236" t="s">
        <v>315</v>
      </c>
      <c r="G122" s="266"/>
      <c r="H122" s="262"/>
      <c r="I122" s="226"/>
    </row>
    <row r="123" spans="1:10" s="220" customFormat="1">
      <c r="A123" s="218"/>
      <c r="B123" s="263" t="s">
        <v>119</v>
      </c>
      <c r="C123" s="263">
        <v>1.05</v>
      </c>
      <c r="D123" s="263">
        <v>1.05</v>
      </c>
      <c r="E123" s="263">
        <v>1.1499999999999999</v>
      </c>
      <c r="F123" s="264">
        <v>1.1499999999999999</v>
      </c>
      <c r="G123" s="223"/>
      <c r="H123" s="265"/>
      <c r="I123" s="226"/>
    </row>
    <row r="124" spans="1:10" s="220" customFormat="1">
      <c r="A124" s="218"/>
      <c r="B124" s="263" t="s">
        <v>120</v>
      </c>
      <c r="C124" s="263">
        <v>1.05</v>
      </c>
      <c r="D124" s="263">
        <v>1.05</v>
      </c>
      <c r="E124" s="263">
        <v>1.1499999999999999</v>
      </c>
      <c r="F124" s="264">
        <v>1.1499999999999999</v>
      </c>
      <c r="G124" s="226"/>
      <c r="H124" s="265"/>
      <c r="I124" s="226"/>
    </row>
    <row r="125" spans="1:10" s="220" customFormat="1">
      <c r="A125" s="218"/>
      <c r="B125" s="263" t="s">
        <v>121</v>
      </c>
      <c r="C125" s="263">
        <v>1.05</v>
      </c>
      <c r="D125" s="263">
        <v>1.05</v>
      </c>
      <c r="E125" s="263">
        <v>1.1499999999999999</v>
      </c>
      <c r="F125" s="264">
        <v>1.1499999999999999</v>
      </c>
      <c r="G125" s="226"/>
      <c r="H125" s="265"/>
      <c r="I125" s="226"/>
    </row>
    <row r="126" spans="1:10" s="220" customFormat="1">
      <c r="A126" s="218"/>
      <c r="B126" s="263" t="s">
        <v>122</v>
      </c>
      <c r="C126" s="263" t="s">
        <v>312</v>
      </c>
      <c r="D126" s="263">
        <v>1.1000000000000001</v>
      </c>
      <c r="E126" s="263" t="s">
        <v>312</v>
      </c>
      <c r="F126" s="264">
        <v>1.2</v>
      </c>
      <c r="G126" s="226"/>
      <c r="H126" s="265"/>
      <c r="I126" s="226"/>
    </row>
    <row r="127" spans="1:10" s="220" customFormat="1">
      <c r="A127" s="218"/>
      <c r="B127" s="263" t="s">
        <v>123</v>
      </c>
      <c r="C127" s="263" t="s">
        <v>312</v>
      </c>
      <c r="D127" s="263">
        <v>1.1000000000000001</v>
      </c>
      <c r="E127" s="263" t="s">
        <v>312</v>
      </c>
      <c r="F127" s="264">
        <v>1.2</v>
      </c>
      <c r="G127" s="226"/>
      <c r="H127" s="265"/>
      <c r="I127" s="226"/>
    </row>
    <row r="128" spans="1:10" s="220" customFormat="1">
      <c r="A128" s="218"/>
      <c r="B128" s="263" t="s">
        <v>124</v>
      </c>
      <c r="C128" s="263" t="s">
        <v>312</v>
      </c>
      <c r="D128" s="263">
        <v>1.1000000000000001</v>
      </c>
      <c r="E128" s="263" t="s">
        <v>312</v>
      </c>
      <c r="F128" s="264">
        <v>1.2</v>
      </c>
      <c r="G128" s="226"/>
      <c r="H128" s="265"/>
      <c r="I128" s="226"/>
    </row>
    <row r="129" spans="1:9" s="220" customFormat="1">
      <c r="A129" s="218"/>
      <c r="B129" s="263" t="s">
        <v>125</v>
      </c>
      <c r="C129" s="263" t="s">
        <v>312</v>
      </c>
      <c r="D129" s="263">
        <v>1.1000000000000001</v>
      </c>
      <c r="E129" s="263" t="s">
        <v>312</v>
      </c>
      <c r="F129" s="264">
        <v>1.2</v>
      </c>
      <c r="G129" s="226"/>
      <c r="H129" s="265"/>
      <c r="I129" s="226"/>
    </row>
    <row r="130" spans="1:9" s="248" customFormat="1">
      <c r="A130" s="65"/>
      <c r="B130" s="39"/>
      <c r="C130" s="9"/>
      <c r="D130" s="9"/>
      <c r="E130" s="9"/>
      <c r="F130" s="9"/>
      <c r="G130" s="9"/>
    </row>
    <row r="131" spans="1:9" s="248" customFormat="1">
      <c r="A131" s="65"/>
      <c r="B131" s="39"/>
      <c r="C131" s="9"/>
      <c r="D131" s="9"/>
      <c r="E131" s="9"/>
      <c r="F131" s="9"/>
      <c r="G131" s="9"/>
    </row>
    <row r="132" spans="1:9">
      <c r="B132" s="11" t="s">
        <v>331</v>
      </c>
      <c r="C132" s="12"/>
    </row>
    <row r="133" spans="1:9">
      <c r="B133" s="15" t="s">
        <v>29</v>
      </c>
      <c r="C133" s="15" t="s">
        <v>30</v>
      </c>
    </row>
    <row r="134" spans="1:9">
      <c r="A134" s="65">
        <v>13</v>
      </c>
      <c r="B134" s="16">
        <v>0.5</v>
      </c>
      <c r="C134" s="17">
        <v>0.13</v>
      </c>
    </row>
    <row r="135" spans="1:9">
      <c r="B135" s="16">
        <v>1</v>
      </c>
      <c r="C135" s="17">
        <v>0.2</v>
      </c>
    </row>
    <row r="136" spans="1:9">
      <c r="B136" s="16">
        <v>2</v>
      </c>
      <c r="C136" s="17">
        <v>0.25</v>
      </c>
    </row>
    <row r="137" spans="1:9">
      <c r="B137" s="16">
        <v>3</v>
      </c>
      <c r="C137" s="17">
        <v>0.3</v>
      </c>
    </row>
    <row r="138" spans="1:9">
      <c r="B138" s="16">
        <v>4</v>
      </c>
      <c r="C138" s="17">
        <v>0.4</v>
      </c>
    </row>
    <row r="139" spans="1:9">
      <c r="B139" s="16">
        <v>5</v>
      </c>
      <c r="C139" s="17">
        <v>0.5</v>
      </c>
    </row>
    <row r="140" spans="1:9">
      <c r="B140" s="16">
        <v>6</v>
      </c>
      <c r="C140" s="17">
        <v>0.6</v>
      </c>
    </row>
    <row r="141" spans="1:9">
      <c r="B141" s="16">
        <v>7</v>
      </c>
      <c r="C141" s="17">
        <v>0.65</v>
      </c>
    </row>
    <row r="142" spans="1:9">
      <c r="B142" s="16">
        <v>8</v>
      </c>
      <c r="C142" s="17">
        <v>0.75</v>
      </c>
    </row>
    <row r="143" spans="1:9">
      <c r="B143" s="16">
        <v>9</v>
      </c>
      <c r="C143" s="17">
        <v>0.85</v>
      </c>
    </row>
    <row r="144" spans="1:9">
      <c r="B144" s="16">
        <v>10</v>
      </c>
      <c r="C144" s="17">
        <v>0.9</v>
      </c>
    </row>
    <row r="145" spans="1:3">
      <c r="B145" s="16">
        <v>11</v>
      </c>
      <c r="C145" s="17">
        <v>0.95</v>
      </c>
    </row>
    <row r="146" spans="1:3">
      <c r="B146" s="16">
        <v>12</v>
      </c>
      <c r="C146" s="14">
        <v>1</v>
      </c>
    </row>
    <row r="147" spans="1:3">
      <c r="B147" s="75">
        <f ca="1">OFFSET(B133,A134,,)</f>
        <v>12</v>
      </c>
      <c r="C147" s="63">
        <f ca="1">OFFSET(C133,A134,,)</f>
        <v>1</v>
      </c>
    </row>
    <row r="148" spans="1:3">
      <c r="B148" s="75"/>
      <c r="C148" s="63"/>
    </row>
    <row r="149" spans="1:3">
      <c r="B149" s="11" t="s">
        <v>332</v>
      </c>
      <c r="C149" s="20"/>
    </row>
    <row r="150" spans="1:3" ht="31.5">
      <c r="B150" s="19" t="s">
        <v>12</v>
      </c>
      <c r="C150" s="18" t="s">
        <v>9</v>
      </c>
    </row>
    <row r="151" spans="1:3">
      <c r="A151" s="65">
        <v>1</v>
      </c>
      <c r="B151" s="114" t="s">
        <v>161</v>
      </c>
      <c r="C151" s="18">
        <v>1</v>
      </c>
    </row>
    <row r="152" spans="1:3">
      <c r="B152" s="115" t="s">
        <v>162</v>
      </c>
      <c r="C152" s="17">
        <v>0.98</v>
      </c>
    </row>
    <row r="153" spans="1:3">
      <c r="B153" s="115" t="s">
        <v>163</v>
      </c>
      <c r="C153" s="17">
        <v>0.96</v>
      </c>
    </row>
    <row r="154" spans="1:3">
      <c r="B154" s="115" t="s">
        <v>164</v>
      </c>
      <c r="C154" s="17">
        <v>0.94</v>
      </c>
    </row>
    <row r="155" spans="1:3">
      <c r="B155" s="115" t="s">
        <v>165</v>
      </c>
      <c r="C155" s="17">
        <v>0.92</v>
      </c>
    </row>
    <row r="156" spans="1:3">
      <c r="B156" s="116" t="s">
        <v>166</v>
      </c>
      <c r="C156" s="117">
        <v>0.9</v>
      </c>
    </row>
    <row r="157" spans="1:3">
      <c r="B157" s="116" t="s">
        <v>167</v>
      </c>
      <c r="C157" s="117">
        <v>0.88</v>
      </c>
    </row>
    <row r="158" spans="1:3">
      <c r="B158" s="115" t="s">
        <v>168</v>
      </c>
      <c r="C158" s="17">
        <v>0.86</v>
      </c>
    </row>
    <row r="159" spans="1:3">
      <c r="B159" s="76" t="str">
        <f ca="1">OFFSET(B150,A151,,)</f>
        <v>менше 3</v>
      </c>
      <c r="C159" s="64">
        <f ca="1">OFFSET(C150,A151,,)</f>
        <v>1</v>
      </c>
    </row>
    <row r="160" spans="1:3" ht="16.5" customHeight="1">
      <c r="B160" s="76"/>
      <c r="C160" s="64"/>
    </row>
    <row r="161" spans="1:8" s="9" customFormat="1">
      <c r="A161" s="90"/>
      <c r="B161" s="91" t="s">
        <v>333</v>
      </c>
      <c r="C161" s="92"/>
      <c r="D161" s="92"/>
      <c r="E161" s="92"/>
      <c r="F161" s="92"/>
    </row>
    <row r="162" spans="1:8" s="111" customFormat="1">
      <c r="A162" s="204"/>
      <c r="B162" s="239"/>
      <c r="C162" s="296" t="s">
        <v>141</v>
      </c>
      <c r="D162" s="297"/>
      <c r="E162" s="297"/>
      <c r="F162" s="297"/>
      <c r="G162" s="96"/>
    </row>
    <row r="163" spans="1:8" s="111" customFormat="1">
      <c r="A163" s="204"/>
      <c r="B163" s="93" t="s">
        <v>140</v>
      </c>
      <c r="C163" s="95" t="str">
        <f>IF(Коефіцієнти!A70=1,"менше 1 року","")</f>
        <v>менше 1 року</v>
      </c>
      <c r="D163" s="95" t="str">
        <f>IF(Коефіцієнти!A70=1,"від 1 року менше 3 років","")</f>
        <v>від 1 року менше 3 років</v>
      </c>
      <c r="E163" s="240" t="str">
        <f>IF(Коефіцієнти!A70=1,"від 3 років менше 10 років","")</f>
        <v>від 3 років менше 10 років</v>
      </c>
      <c r="F163" s="94" t="str">
        <f>IF(Коефіцієнти!A70=1,"від 10 років","")</f>
        <v>від 10 років</v>
      </c>
      <c r="G163" s="119" t="str">
        <f>IF(Коефіцієнти!A70=1,"менше 1 року","")</f>
        <v>менше 1 року</v>
      </c>
      <c r="H163" s="118">
        <v>3</v>
      </c>
    </row>
    <row r="164" spans="1:8" s="111" customFormat="1">
      <c r="A164" s="204">
        <v>2</v>
      </c>
      <c r="B164" s="94" t="str">
        <f>IF(Коефіцієнти!A70=1,"менше 21 року","")</f>
        <v>менше 21 року</v>
      </c>
      <c r="C164" s="95">
        <v>1.2</v>
      </c>
      <c r="D164" s="95">
        <v>1.1000000000000001</v>
      </c>
      <c r="E164" s="240"/>
      <c r="F164" s="241"/>
      <c r="G164" s="119" t="str">
        <f>IF(Коефіцієнти!A70=1,"від 1 року менше 3 років","")</f>
        <v>від 1 року менше 3 років</v>
      </c>
      <c r="H164" s="242"/>
    </row>
    <row r="165" spans="1:8" s="111" customFormat="1">
      <c r="A165" s="204"/>
      <c r="B165" s="94" t="str">
        <f>IF(Коефіцієнти!A70=1,"від 21 року включно","")</f>
        <v>від 21 року включно</v>
      </c>
      <c r="C165" s="95">
        <v>1.1000000000000001</v>
      </c>
      <c r="D165" s="95">
        <v>1</v>
      </c>
      <c r="E165" s="117">
        <v>0.95</v>
      </c>
      <c r="F165" s="241">
        <v>0.9</v>
      </c>
      <c r="G165" s="110" t="str">
        <f>IF(Коефіцієнти!A70=1,"від 3 років менше 10 років","")</f>
        <v>від 3 років менше 10 років</v>
      </c>
      <c r="H165" s="242"/>
    </row>
    <row r="166" spans="1:8" s="9" customFormat="1">
      <c r="A166" s="90"/>
      <c r="B166" s="98">
        <f ca="1">OFFSET(B163,A164,H163,,)</f>
        <v>0.95</v>
      </c>
      <c r="C166" s="96"/>
      <c r="D166" s="96"/>
      <c r="F166" s="97"/>
      <c r="G166" s="120" t="str">
        <f>IF(Коефіцієнти!A70=1,"від 10 років","")</f>
        <v>від 10 років</v>
      </c>
    </row>
    <row r="167" spans="1:8" s="9" customFormat="1">
      <c r="A167" s="90"/>
      <c r="B167" s="92" t="str">
        <f ca="1">OFFSET(B163,A164,,,)</f>
        <v>від 21 року включно</v>
      </c>
      <c r="C167" s="96"/>
      <c r="D167" s="96"/>
      <c r="E167" s="97"/>
      <c r="F167" s="97"/>
      <c r="G167" s="243" t="str">
        <f ca="1">OFFSET(G162,H163,,,)</f>
        <v>від 3 років менше 10 років</v>
      </c>
    </row>
    <row r="168" spans="1:8" s="156" customFormat="1">
      <c r="A168" s="80"/>
      <c r="B168" s="67"/>
      <c r="C168" s="9"/>
      <c r="D168" s="9"/>
      <c r="E168" s="9"/>
      <c r="F168" s="9"/>
      <c r="G168" s="9"/>
    </row>
    <row r="169" spans="1:8" s="156" customFormat="1">
      <c r="A169" s="65"/>
      <c r="B169" s="39" t="s">
        <v>334</v>
      </c>
      <c r="C169" s="9"/>
      <c r="D169" s="9"/>
      <c r="E169" s="9"/>
      <c r="F169" s="9"/>
      <c r="G169" s="9"/>
    </row>
    <row r="170" spans="1:8" s="156" customFormat="1">
      <c r="A170" s="65">
        <v>1</v>
      </c>
      <c r="B170" s="9" t="s">
        <v>317</v>
      </c>
      <c r="C170" s="244">
        <v>1</v>
      </c>
      <c r="D170" s="9"/>
      <c r="E170" s="9"/>
      <c r="F170" s="9"/>
      <c r="G170" s="9"/>
    </row>
    <row r="171" spans="1:8" s="156" customFormat="1">
      <c r="A171" s="65"/>
      <c r="B171" s="9" t="s">
        <v>318</v>
      </c>
      <c r="C171" s="244">
        <v>0.9</v>
      </c>
      <c r="D171" s="9"/>
      <c r="E171" s="9"/>
      <c r="F171" s="9"/>
      <c r="G171" s="9"/>
    </row>
    <row r="172" spans="1:8" s="156" customFormat="1">
      <c r="A172" s="65"/>
      <c r="B172" s="39" t="str">
        <f ca="1">OFFSET(B169,A170,,,)</f>
        <v>неагрегатна</v>
      </c>
      <c r="C172" s="245">
        <f ca="1">OFFSET(C169,A170,,,)</f>
        <v>1</v>
      </c>
      <c r="D172" s="9"/>
      <c r="E172" s="9"/>
      <c r="F172" s="9"/>
      <c r="G172" s="9"/>
    </row>
    <row r="173" spans="1:8" s="156" customFormat="1">
      <c r="A173" s="80"/>
      <c r="B173" s="67"/>
      <c r="C173" s="9"/>
      <c r="D173" s="9"/>
      <c r="E173" s="9"/>
      <c r="F173" s="9"/>
      <c r="G173" s="9"/>
    </row>
    <row r="174" spans="1:8" s="156" customFormat="1">
      <c r="A174" s="65"/>
      <c r="B174" s="39" t="s">
        <v>335</v>
      </c>
      <c r="C174" s="9"/>
      <c r="D174" s="9"/>
      <c r="E174" s="9"/>
      <c r="F174" s="9"/>
      <c r="G174" s="9"/>
    </row>
    <row r="175" spans="1:8" s="157" customFormat="1">
      <c r="A175" s="79">
        <v>1</v>
      </c>
      <c r="B175" s="69" t="e">
        <f>IF(LEFT(#REF!)="Б","так","")</f>
        <v>#REF!</v>
      </c>
      <c r="C175" s="13"/>
      <c r="D175" s="13"/>
      <c r="E175" s="13"/>
      <c r="F175" s="13"/>
      <c r="G175" s="13"/>
    </row>
    <row r="176" spans="1:8" s="157" customFormat="1">
      <c r="A176" s="79"/>
      <c r="B176" s="69" t="e">
        <f>IF(LEFT(#REF!)="Б","ні","")</f>
        <v>#REF!</v>
      </c>
      <c r="C176" s="13"/>
      <c r="D176" s="13"/>
      <c r="E176" s="13"/>
      <c r="F176" s="13"/>
      <c r="G176" s="13"/>
    </row>
    <row r="177" spans="1:7" s="156" customFormat="1">
      <c r="A177" s="65"/>
      <c r="B177" s="39" t="e">
        <f ca="1">OFFSET(B174,A175,,)</f>
        <v>#REF!</v>
      </c>
      <c r="C177" s="9"/>
      <c r="D177" s="9"/>
      <c r="E177" s="9"/>
      <c r="F177" s="9"/>
      <c r="G177" s="9"/>
    </row>
    <row r="178" spans="1:7" s="156" customFormat="1">
      <c r="A178" s="65"/>
      <c r="B178" s="39"/>
      <c r="C178" s="9"/>
      <c r="D178" s="9"/>
      <c r="E178" s="9"/>
      <c r="F178" s="9"/>
      <c r="G178" s="9"/>
    </row>
    <row r="179" spans="1:7" s="156" customFormat="1">
      <c r="A179" s="65"/>
      <c r="B179" s="39" t="s">
        <v>336</v>
      </c>
      <c r="C179" s="9"/>
      <c r="D179" s="9"/>
      <c r="E179" s="9"/>
      <c r="F179" s="9"/>
      <c r="G179" s="9"/>
    </row>
    <row r="180" spans="1:7" s="156" customFormat="1">
      <c r="A180" s="65">
        <v>2</v>
      </c>
      <c r="B180" s="9" t="str">
        <f>IF(OR(Коефіцієнти!A5&lt;3,Коефіцієнти!A5=10),"так","")</f>
        <v>так</v>
      </c>
      <c r="C180" s="9"/>
      <c r="D180" s="9"/>
      <c r="E180" s="9"/>
      <c r="F180" s="9"/>
      <c r="G180" s="9"/>
    </row>
    <row r="181" spans="1:7" s="156" customFormat="1">
      <c r="A181" s="65"/>
      <c r="B181" s="9" t="str">
        <f>IF(OR(Коефіцієнти!A5&lt;3,Коефіцієнти!A5=10),"ні","")</f>
        <v>ні</v>
      </c>
      <c r="C181" s="9"/>
      <c r="D181" s="9"/>
      <c r="E181" s="9"/>
      <c r="F181" s="9"/>
      <c r="G181" s="9"/>
    </row>
    <row r="182" spans="1:7" s="156" customFormat="1">
      <c r="A182" s="65"/>
      <c r="B182" s="39" t="str">
        <f ca="1">OFFSET(B179,A180,,)</f>
        <v>ні</v>
      </c>
      <c r="C182" s="9"/>
      <c r="D182" s="9"/>
      <c r="E182" s="9"/>
      <c r="F182" s="9"/>
      <c r="G182" s="9"/>
    </row>
    <row r="183" spans="1:7" s="156" customFormat="1">
      <c r="A183" s="65"/>
      <c r="B183" s="9"/>
      <c r="C183" s="9"/>
      <c r="D183" s="9"/>
      <c r="E183" s="9"/>
      <c r="F183" s="9"/>
      <c r="G183" s="9"/>
    </row>
    <row r="184" spans="1:7" s="156" customFormat="1">
      <c r="A184" s="65"/>
      <c r="B184" s="39" t="s">
        <v>337</v>
      </c>
      <c r="C184" s="9"/>
      <c r="D184" s="9"/>
      <c r="E184" s="9"/>
      <c r="F184" s="9"/>
      <c r="G184" s="9"/>
    </row>
    <row r="185" spans="1:7" s="156" customFormat="1">
      <c r="A185" s="79">
        <v>2</v>
      </c>
      <c r="B185" s="68" t="s">
        <v>34</v>
      </c>
      <c r="C185" s="9"/>
      <c r="D185" s="9"/>
      <c r="E185" s="9"/>
      <c r="F185" s="9"/>
      <c r="G185" s="9"/>
    </row>
    <row r="186" spans="1:7" s="156" customFormat="1">
      <c r="A186" s="79"/>
      <c r="B186" s="68" t="s">
        <v>35</v>
      </c>
      <c r="C186" s="9"/>
      <c r="D186" s="9"/>
      <c r="E186" s="9"/>
      <c r="F186" s="9"/>
      <c r="G186" s="9"/>
    </row>
    <row r="187" spans="1:7" s="156" customFormat="1">
      <c r="A187" s="65"/>
      <c r="B187" s="39" t="str">
        <f ca="1">OFFSET(B184,A185,,)</f>
        <v>до 2000 грн. - для ЛА, до 3000 грн. - для інших ТЗ</v>
      </c>
      <c r="C187" s="9"/>
      <c r="D187" s="9"/>
      <c r="E187" s="9"/>
      <c r="F187" s="9"/>
      <c r="G187" s="9"/>
    </row>
    <row r="188" spans="1:7" s="156" customFormat="1">
      <c r="A188" s="65"/>
      <c r="B188" s="9"/>
      <c r="C188" s="9"/>
      <c r="D188" s="9"/>
      <c r="E188" s="9"/>
      <c r="F188" s="9"/>
      <c r="G188" s="9"/>
    </row>
    <row r="189" spans="1:7" s="156" customFormat="1">
      <c r="A189" s="65"/>
      <c r="B189" s="39" t="s">
        <v>338</v>
      </c>
      <c r="C189" s="9"/>
      <c r="D189" s="9"/>
      <c r="E189" s="9"/>
      <c r="F189" s="9"/>
      <c r="G189" s="9"/>
    </row>
    <row r="190" spans="1:7" s="156" customFormat="1">
      <c r="A190" s="79">
        <v>2</v>
      </c>
      <c r="B190" s="68" t="s">
        <v>31</v>
      </c>
      <c r="C190" s="9"/>
      <c r="D190" s="9"/>
      <c r="E190" s="9"/>
      <c r="F190" s="9"/>
      <c r="G190" s="9"/>
    </row>
    <row r="191" spans="1:7" s="156" customFormat="1">
      <c r="A191" s="79"/>
      <c r="B191" s="68" t="s">
        <v>32</v>
      </c>
      <c r="C191" s="9"/>
      <c r="D191" s="9"/>
      <c r="E191" s="9"/>
      <c r="F191" s="9"/>
      <c r="G191" s="9"/>
    </row>
    <row r="192" spans="1:7" s="156" customFormat="1">
      <c r="A192" s="65"/>
      <c r="B192" s="39" t="str">
        <f ca="1">OFFSET(B189,A190,,)</f>
        <v>ні</v>
      </c>
      <c r="C192" s="9"/>
      <c r="D192" s="9"/>
      <c r="E192" s="9"/>
      <c r="F192" s="9"/>
      <c r="G192" s="9"/>
    </row>
    <row r="193" spans="1:10" s="156" customFormat="1">
      <c r="A193" s="65"/>
      <c r="B193" s="39"/>
      <c r="C193" s="9"/>
      <c r="D193" s="9"/>
      <c r="E193" s="9"/>
      <c r="F193" s="9"/>
      <c r="G193" s="9"/>
    </row>
    <row r="194" spans="1:10" s="156" customFormat="1">
      <c r="A194" s="65"/>
      <c r="B194" s="39" t="s">
        <v>339</v>
      </c>
      <c r="C194" s="9"/>
      <c r="D194" s="9"/>
      <c r="E194" s="9"/>
      <c r="F194" s="9"/>
      <c r="G194" s="9"/>
    </row>
    <row r="195" spans="1:10" s="156" customFormat="1">
      <c r="A195" s="65">
        <v>3</v>
      </c>
      <c r="B195" s="9" t="s">
        <v>32</v>
      </c>
      <c r="C195" s="9"/>
      <c r="D195" s="9"/>
      <c r="E195" s="104">
        <v>0.95</v>
      </c>
      <c r="F195" s="9"/>
      <c r="G195" s="9"/>
    </row>
    <row r="196" spans="1:10" s="156" customFormat="1">
      <c r="A196" s="65"/>
      <c r="B196" s="9" t="s">
        <v>319</v>
      </c>
      <c r="C196" s="9"/>
      <c r="D196" s="9"/>
      <c r="E196" s="104">
        <v>1</v>
      </c>
      <c r="F196" s="9"/>
      <c r="G196" s="9"/>
    </row>
    <row r="197" spans="1:10" s="156" customFormat="1">
      <c r="A197" s="65"/>
      <c r="B197" s="9" t="s">
        <v>320</v>
      </c>
      <c r="C197" s="9"/>
      <c r="D197" s="9"/>
      <c r="E197" s="104">
        <v>1.05</v>
      </c>
      <c r="F197" s="9"/>
      <c r="G197" s="9"/>
    </row>
    <row r="198" spans="1:10" s="156" customFormat="1">
      <c r="A198" s="65"/>
      <c r="B198" s="39" t="str">
        <f ca="1">OFFSET(B194,A195,,,)</f>
        <v>двічі протягом дії Договору</v>
      </c>
      <c r="C198" s="9"/>
      <c r="D198" s="9"/>
      <c r="E198" s="204">
        <f ca="1">OFFSET(E194,A195,,,)</f>
        <v>1.05</v>
      </c>
      <c r="F198" s="9"/>
      <c r="G198" s="9"/>
    </row>
    <row r="199" spans="1:10" s="156" customFormat="1">
      <c r="A199" s="65"/>
      <c r="B199" s="39"/>
      <c r="C199" s="9"/>
      <c r="D199" s="9"/>
      <c r="E199" s="9"/>
      <c r="F199" s="9"/>
      <c r="G199" s="9"/>
    </row>
    <row r="200" spans="1:10" s="156" customFormat="1">
      <c r="A200" s="65"/>
      <c r="B200" s="39" t="s">
        <v>340</v>
      </c>
      <c r="C200" s="9"/>
      <c r="D200" s="9"/>
      <c r="E200" s="9"/>
      <c r="F200" s="9"/>
      <c r="G200" s="9"/>
    </row>
    <row r="201" spans="1:10" s="156" customFormat="1">
      <c r="A201" s="65">
        <v>2</v>
      </c>
      <c r="B201" s="9" t="s">
        <v>32</v>
      </c>
      <c r="C201" s="9"/>
      <c r="D201" s="9"/>
      <c r="E201" s="104">
        <v>0.9</v>
      </c>
      <c r="F201" s="9"/>
      <c r="G201" s="9"/>
    </row>
    <row r="202" spans="1:10" s="156" customFormat="1">
      <c r="A202" s="65"/>
      <c r="B202" s="9" t="s">
        <v>321</v>
      </c>
      <c r="C202" s="9"/>
      <c r="D202" s="9"/>
      <c r="E202" s="104">
        <v>0.95</v>
      </c>
      <c r="F202" s="9"/>
      <c r="G202" s="9"/>
    </row>
    <row r="203" spans="1:10" s="156" customFormat="1">
      <c r="A203" s="65"/>
      <c r="B203" s="9" t="s">
        <v>322</v>
      </c>
      <c r="C203" s="9"/>
      <c r="D203" s="9"/>
      <c r="E203" s="104">
        <v>1</v>
      </c>
      <c r="F203" s="9"/>
      <c r="G203" s="9"/>
    </row>
    <row r="204" spans="1:10" s="156" customFormat="1">
      <c r="A204" s="65"/>
      <c r="B204" s="9" t="s">
        <v>323</v>
      </c>
      <c r="C204" s="9"/>
      <c r="D204" s="9"/>
      <c r="E204" s="104">
        <v>1.05</v>
      </c>
      <c r="F204" s="9"/>
      <c r="G204" s="9"/>
    </row>
    <row r="205" spans="1:10" s="156" customFormat="1">
      <c r="A205" s="65"/>
      <c r="B205" s="39" t="str">
        <f ca="1">OFFSET(B200,A201,,,)</f>
        <v>відшкодування не більше 2% страхової суми</v>
      </c>
      <c r="C205" s="9"/>
      <c r="D205" s="9"/>
      <c r="E205" s="204">
        <f ca="1">OFFSET(E200,A201,,,)</f>
        <v>0.95</v>
      </c>
      <c r="F205" s="9"/>
      <c r="G205" s="9"/>
    </row>
    <row r="206" spans="1:10" s="156" customFormat="1">
      <c r="A206" s="65"/>
      <c r="B206" s="39"/>
      <c r="C206" s="9"/>
      <c r="D206" s="9"/>
      <c r="E206" s="9"/>
      <c r="F206" s="9"/>
      <c r="G206" s="9"/>
    </row>
    <row r="207" spans="1:10" s="156" customFormat="1">
      <c r="A207" s="65"/>
      <c r="B207" s="39" t="s">
        <v>341</v>
      </c>
      <c r="C207" s="9"/>
      <c r="D207" s="9"/>
      <c r="E207" s="9"/>
      <c r="F207" s="9"/>
      <c r="G207" s="9"/>
    </row>
    <row r="208" spans="1:10" s="10" customFormat="1">
      <c r="A208" s="149">
        <v>1</v>
      </c>
      <c r="B208" s="68" t="s">
        <v>259</v>
      </c>
      <c r="C208" s="150">
        <v>1</v>
      </c>
      <c r="D208" s="151"/>
      <c r="E208" s="151"/>
      <c r="F208" s="151"/>
      <c r="G208" s="151"/>
      <c r="H208" s="151"/>
      <c r="I208" s="151"/>
      <c r="J208" s="151"/>
    </row>
    <row r="209" spans="1:10" s="44" customFormat="1">
      <c r="A209" s="149"/>
      <c r="B209" s="158" t="s">
        <v>169</v>
      </c>
      <c r="C209" s="159">
        <v>1</v>
      </c>
      <c r="D209" s="158"/>
      <c r="E209" s="158"/>
      <c r="F209" s="158"/>
      <c r="G209" s="158"/>
      <c r="H209" s="158"/>
      <c r="I209" s="158"/>
      <c r="J209" s="158"/>
    </row>
    <row r="210" spans="1:10" s="44" customFormat="1">
      <c r="A210" s="149"/>
      <c r="B210" s="158" t="s">
        <v>170</v>
      </c>
      <c r="C210" s="159">
        <v>1.3</v>
      </c>
      <c r="D210" s="158"/>
      <c r="E210" s="158"/>
      <c r="F210" s="158"/>
      <c r="G210" s="158"/>
      <c r="H210" s="158"/>
      <c r="I210" s="158"/>
      <c r="J210" s="158"/>
    </row>
    <row r="211" spans="1:10" s="44" customFormat="1">
      <c r="A211" s="149"/>
      <c r="B211" s="158" t="s">
        <v>171</v>
      </c>
      <c r="C211" s="159">
        <v>1.5</v>
      </c>
      <c r="D211" s="158"/>
      <c r="E211" s="158"/>
      <c r="F211" s="158"/>
      <c r="G211" s="158"/>
      <c r="H211" s="158"/>
      <c r="I211" s="158"/>
      <c r="J211" s="158"/>
    </row>
    <row r="212" spans="1:10" s="44" customFormat="1">
      <c r="A212" s="149"/>
      <c r="B212" s="158" t="s">
        <v>172</v>
      </c>
      <c r="C212" s="159">
        <v>2</v>
      </c>
      <c r="D212" s="158"/>
      <c r="E212" s="158"/>
      <c r="F212" s="158"/>
      <c r="G212" s="158"/>
      <c r="H212" s="158"/>
      <c r="I212" s="158"/>
      <c r="J212" s="158"/>
    </row>
    <row r="213" spans="1:10" s="10" customFormat="1">
      <c r="A213" s="152"/>
      <c r="B213" s="153" t="str">
        <f ca="1">OFFSET(B207,A208,,)</f>
        <v>звичайний</v>
      </c>
      <c r="C213" s="154">
        <f ca="1">OFFSET(C207,A208,,,)</f>
        <v>1</v>
      </c>
    </row>
    <row r="214" spans="1:10" s="156" customFormat="1">
      <c r="A214" s="65"/>
      <c r="B214" s="39"/>
      <c r="C214" s="9"/>
      <c r="D214" s="9"/>
      <c r="E214" s="9"/>
      <c r="F214" s="9"/>
      <c r="G214" s="9"/>
    </row>
    <row r="215" spans="1:10" s="156" customFormat="1">
      <c r="A215" s="65"/>
      <c r="B215" s="39" t="s">
        <v>342</v>
      </c>
      <c r="C215" s="9"/>
      <c r="D215" s="9"/>
      <c r="E215" s="9"/>
      <c r="F215" s="9"/>
      <c r="G215" s="9"/>
    </row>
    <row r="216" spans="1:10" s="44" customFormat="1">
      <c r="A216" s="149">
        <v>3</v>
      </c>
      <c r="B216" s="160" t="s">
        <v>173</v>
      </c>
      <c r="C216" s="160"/>
      <c r="D216" s="160"/>
      <c r="E216" s="159">
        <v>1</v>
      </c>
      <c r="F216" s="160"/>
      <c r="G216" s="160"/>
      <c r="H216" s="160"/>
      <c r="I216" s="160"/>
      <c r="J216" s="160"/>
    </row>
    <row r="217" spans="1:10" s="44" customFormat="1">
      <c r="A217" s="149"/>
      <c r="B217" s="160" t="s">
        <v>174</v>
      </c>
      <c r="C217" s="160"/>
      <c r="D217" s="160"/>
      <c r="E217" s="159">
        <v>1.03</v>
      </c>
      <c r="F217" s="160"/>
      <c r="G217" s="160"/>
      <c r="H217" s="160"/>
      <c r="I217" s="160"/>
      <c r="J217" s="160"/>
    </row>
    <row r="218" spans="1:10" s="44" customFormat="1">
      <c r="A218" s="149"/>
      <c r="B218" s="160" t="s">
        <v>175</v>
      </c>
      <c r="C218" s="160"/>
      <c r="D218" s="160"/>
      <c r="E218" s="159">
        <v>1.05</v>
      </c>
      <c r="F218" s="160"/>
      <c r="G218" s="160"/>
      <c r="H218" s="160"/>
      <c r="I218" s="160"/>
      <c r="J218" s="160"/>
    </row>
    <row r="219" spans="1:10" s="44" customFormat="1">
      <c r="A219" s="149"/>
      <c r="B219" s="160" t="s">
        <v>176</v>
      </c>
      <c r="C219" s="160"/>
      <c r="D219" s="160"/>
      <c r="E219" s="159">
        <v>1.1000000000000001</v>
      </c>
      <c r="F219" s="160"/>
      <c r="G219" s="160"/>
      <c r="H219" s="160"/>
      <c r="I219" s="160"/>
      <c r="J219" s="160"/>
    </row>
    <row r="220" spans="1:10" s="10" customFormat="1">
      <c r="A220" s="152"/>
      <c r="B220" s="153" t="str">
        <f ca="1">OFFSET(B215,A216,,)</f>
        <v>територія України + країни СНД + Європа</v>
      </c>
      <c r="E220" s="155">
        <f ca="1">OFFSET(E215,A216,,,)</f>
        <v>1.05</v>
      </c>
    </row>
    <row r="221" spans="1:10" s="156" customFormat="1">
      <c r="A221" s="65"/>
      <c r="B221" s="9"/>
      <c r="C221" s="9"/>
      <c r="D221" s="9"/>
      <c r="E221" s="9"/>
      <c r="F221" s="9"/>
      <c r="G221" s="9"/>
    </row>
    <row r="222" spans="1:10" s="156" customFormat="1">
      <c r="A222" s="65"/>
      <c r="B222" s="39" t="s">
        <v>343</v>
      </c>
      <c r="C222" s="9"/>
      <c r="D222" s="9"/>
      <c r="E222" s="9"/>
      <c r="F222" s="9"/>
      <c r="G222" s="9"/>
    </row>
    <row r="223" spans="1:10" s="156" customFormat="1">
      <c r="A223" s="65">
        <v>2</v>
      </c>
      <c r="B223" s="9" t="s">
        <v>31</v>
      </c>
      <c r="C223" s="9"/>
      <c r="D223" s="9"/>
      <c r="E223" s="9"/>
      <c r="F223" s="9"/>
      <c r="G223" s="9"/>
    </row>
    <row r="224" spans="1:10" s="156" customFormat="1">
      <c r="A224" s="65"/>
      <c r="B224" s="9" t="s">
        <v>32</v>
      </c>
      <c r="C224" s="9"/>
      <c r="D224" s="9"/>
      <c r="E224" s="9"/>
      <c r="F224" s="9"/>
      <c r="G224" s="9"/>
    </row>
    <row r="225" spans="1:7" s="156" customFormat="1">
      <c r="A225" s="65"/>
      <c r="B225" s="39" t="str">
        <f ca="1">OFFSET(B222,A223,,)</f>
        <v>ні</v>
      </c>
      <c r="C225" s="9"/>
      <c r="D225" s="9"/>
      <c r="E225" s="9"/>
      <c r="F225" s="9"/>
      <c r="G225" s="9"/>
    </row>
    <row r="226" spans="1:7" s="156" customFormat="1">
      <c r="A226" s="65"/>
      <c r="B226" s="9"/>
      <c r="C226" s="9"/>
      <c r="D226" s="9"/>
      <c r="E226" s="9"/>
      <c r="F226" s="9"/>
      <c r="G226" s="9"/>
    </row>
    <row r="227" spans="1:7" s="156" customFormat="1">
      <c r="A227" s="65"/>
      <c r="B227" s="71" t="s">
        <v>344</v>
      </c>
      <c r="C227" s="9"/>
      <c r="D227" s="9"/>
      <c r="E227" s="9"/>
      <c r="F227" s="9"/>
      <c r="G227" s="9"/>
    </row>
    <row r="228" spans="1:7" s="10" customFormat="1">
      <c r="A228" s="149">
        <v>2</v>
      </c>
      <c r="B228" s="70" t="s">
        <v>28</v>
      </c>
      <c r="E228" s="159">
        <v>1</v>
      </c>
    </row>
    <row r="229" spans="1:7" s="10" customFormat="1">
      <c r="A229" s="149">
        <f ca="1">IF(B147=12,A228,1)</f>
        <v>2</v>
      </c>
      <c r="B229" s="70" t="str">
        <f ca="1">IF(B147=12,"55% одразу + 45% до 6 міс","100% одразу")</f>
        <v>55% одразу + 45% до 6 міс</v>
      </c>
      <c r="E229" s="159">
        <v>1.03</v>
      </c>
    </row>
    <row r="230" spans="1:7" s="10" customFormat="1">
      <c r="A230" s="149"/>
      <c r="B230" s="70" t="str">
        <f ca="1">IF(B147=12,"50 % одразу + 25 % до 3 міс. + 25 % до 6 міс","100% одразу")</f>
        <v>50 % одразу + 25 % до 3 міс. + 25 % до 6 міс</v>
      </c>
      <c r="E230" s="159">
        <v>1.06</v>
      </c>
    </row>
    <row r="231" spans="1:7" s="10" customFormat="1">
      <c r="A231" s="149"/>
      <c r="B231" s="70" t="str">
        <f ca="1">IF(B147=12,"30% одразу + 25% до 3 міс + 25% до 6 міс + 20% до 9 міс","100% одразу")</f>
        <v>30% одразу + 25% до 3 міс + 25% до 6 міс + 20% до 9 міс</v>
      </c>
      <c r="E231" s="159">
        <v>1.1000000000000001</v>
      </c>
    </row>
    <row r="232" spans="1:7" s="156" customFormat="1">
      <c r="A232" s="65"/>
      <c r="B232" s="71" t="str">
        <f ca="1">IF(B147=12,OFFSET(B227,A228,,),B228)</f>
        <v>55% одразу + 45% до 6 міс</v>
      </c>
      <c r="C232" s="9"/>
      <c r="D232" s="9"/>
      <c r="E232" s="105">
        <f ca="1">IF(B147=12,OFFSET(E227,A228,,,),E228)</f>
        <v>1.03</v>
      </c>
      <c r="F232" s="9"/>
      <c r="G232" s="9"/>
    </row>
    <row r="233" spans="1:7" s="156" customFormat="1">
      <c r="A233" s="65"/>
      <c r="B233" s="9"/>
      <c r="C233" s="9"/>
      <c r="D233" s="9"/>
      <c r="E233" s="9"/>
      <c r="F233" s="9"/>
      <c r="G233" s="9"/>
    </row>
    <row r="234" spans="1:7" s="156" customFormat="1">
      <c r="A234" s="65"/>
      <c r="B234" s="39" t="s">
        <v>345</v>
      </c>
      <c r="C234" s="9"/>
      <c r="D234" s="9"/>
      <c r="E234" s="9"/>
      <c r="F234" s="9"/>
      <c r="G234" s="9"/>
    </row>
    <row r="235" spans="1:7" s="156" customFormat="1">
      <c r="A235" s="65">
        <v>2</v>
      </c>
      <c r="B235" s="9" t="str">
        <f>IF(AND(OR(Коефіцієнти!A5&lt;3,Коефіцієнти!A5=10),Коефіцієнти!A66=1,Коефіцієнти!A216&gt;1),"так","")</f>
        <v>так</v>
      </c>
      <c r="C235" s="9"/>
      <c r="D235" s="9"/>
      <c r="E235" s="9"/>
      <c r="F235" s="9"/>
      <c r="G235" s="9"/>
    </row>
    <row r="236" spans="1:7" s="156" customFormat="1">
      <c r="A236" s="65"/>
      <c r="B236" s="9" t="str">
        <f>IF(AND(OR(Коефіцієнти!A5&lt;3,Коефіцієнти!A5=10),Коефіцієнти!A66=1,Коефіцієнти!A216&gt;1),"ні","")</f>
        <v>ні</v>
      </c>
      <c r="C236" s="9"/>
      <c r="D236" s="9"/>
      <c r="E236" s="9"/>
      <c r="F236" s="9"/>
      <c r="G236" s="9"/>
    </row>
    <row r="237" spans="1:7" s="156" customFormat="1">
      <c r="A237" s="65"/>
      <c r="B237" s="39" t="str">
        <f ca="1">OFFSET(B234,A235,,)</f>
        <v>ні</v>
      </c>
      <c r="C237" s="9"/>
      <c r="D237" s="9"/>
      <c r="E237" s="9"/>
      <c r="F237" s="9"/>
      <c r="G237" s="9"/>
    </row>
    <row r="238" spans="1:7" s="156" customFormat="1">
      <c r="A238" s="65"/>
      <c r="B238" s="39"/>
      <c r="C238" s="9"/>
      <c r="D238" s="9"/>
      <c r="E238" s="9"/>
      <c r="F238" s="9"/>
      <c r="G238" s="9"/>
    </row>
    <row r="239" spans="1:7" s="156" customFormat="1">
      <c r="A239" s="65"/>
      <c r="B239" s="39" t="s">
        <v>346</v>
      </c>
      <c r="C239" s="9"/>
      <c r="D239" s="9"/>
      <c r="E239" s="9"/>
      <c r="F239" s="9"/>
      <c r="G239" s="9"/>
    </row>
    <row r="240" spans="1:7" s="156" customFormat="1">
      <c r="A240" s="65">
        <v>2</v>
      </c>
      <c r="B240" s="9" t="s">
        <v>31</v>
      </c>
      <c r="C240" s="9"/>
      <c r="D240" s="9"/>
      <c r="E240" s="9"/>
      <c r="F240" s="9"/>
      <c r="G240" s="9"/>
    </row>
    <row r="241" spans="1:15" s="156" customFormat="1">
      <c r="A241" s="65"/>
      <c r="B241" s="9" t="s">
        <v>32</v>
      </c>
      <c r="C241" s="9"/>
      <c r="D241" s="9"/>
      <c r="E241" s="9"/>
      <c r="F241" s="9"/>
      <c r="G241" s="9"/>
    </row>
    <row r="242" spans="1:15" s="156" customFormat="1">
      <c r="A242" s="65"/>
      <c r="B242" s="39" t="str">
        <f ca="1">OFFSET(B239,A240,,)</f>
        <v>ні</v>
      </c>
      <c r="C242" s="9"/>
      <c r="D242" s="9"/>
      <c r="E242" s="9"/>
      <c r="F242" s="9"/>
      <c r="G242" s="9"/>
    </row>
    <row r="243" spans="1:15" s="156" customFormat="1">
      <c r="A243" s="65"/>
      <c r="B243" s="9"/>
      <c r="C243" s="9"/>
      <c r="D243" s="9"/>
      <c r="E243" s="9"/>
      <c r="F243" s="9"/>
      <c r="G243" s="9"/>
    </row>
    <row r="244" spans="1:15" s="156" customFormat="1">
      <c r="A244" s="65"/>
      <c r="B244" s="22" t="s">
        <v>347</v>
      </c>
      <c r="C244" s="21"/>
      <c r="D244" s="21"/>
      <c r="E244" s="21"/>
      <c r="F244" s="21"/>
      <c r="G244" s="21"/>
    </row>
    <row r="245" spans="1:15" s="161" customFormat="1">
      <c r="A245" s="65"/>
      <c r="B245" s="25" t="s">
        <v>144</v>
      </c>
      <c r="C245" s="25" t="s">
        <v>26</v>
      </c>
      <c r="D245" s="26"/>
      <c r="E245" s="26"/>
      <c r="F245" s="26"/>
      <c r="G245" s="26"/>
    </row>
    <row r="246" spans="1:15" s="156" customFormat="1">
      <c r="A246" s="65">
        <v>1</v>
      </c>
      <c r="B246" s="23">
        <v>0</v>
      </c>
      <c r="C246" s="207">
        <v>0.83333332999999998</v>
      </c>
      <c r="D246" s="9"/>
      <c r="E246" s="283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</row>
    <row r="247" spans="1:15" s="156" customFormat="1">
      <c r="A247" s="65"/>
      <c r="B247" s="23">
        <v>0.05</v>
      </c>
      <c r="C247" s="117">
        <v>0.90909090999999997</v>
      </c>
      <c r="D247" s="9"/>
      <c r="E247" s="13"/>
      <c r="F247" s="13"/>
      <c r="G247" s="13"/>
      <c r="H247" s="157"/>
      <c r="I247" s="157"/>
      <c r="J247" s="157"/>
      <c r="K247" s="157"/>
      <c r="L247" s="157"/>
      <c r="M247" s="157"/>
      <c r="N247" s="157"/>
      <c r="O247" s="157"/>
    </row>
    <row r="248" spans="1:15" s="156" customFormat="1">
      <c r="A248" s="65"/>
      <c r="B248" s="23">
        <v>0.1</v>
      </c>
      <c r="C248" s="117">
        <v>1</v>
      </c>
      <c r="D248" s="9"/>
      <c r="E248" s="208"/>
      <c r="F248" s="13"/>
      <c r="G248" s="13"/>
      <c r="H248" s="157"/>
      <c r="I248" s="157"/>
      <c r="J248" s="157"/>
      <c r="K248" s="157"/>
      <c r="L248" s="157"/>
      <c r="M248" s="157"/>
      <c r="N248" s="157"/>
      <c r="O248" s="157"/>
    </row>
    <row r="249" spans="1:15" s="156" customFormat="1">
      <c r="A249" s="65"/>
      <c r="B249" s="23">
        <v>0.15</v>
      </c>
      <c r="C249" s="117">
        <v>1.11111111</v>
      </c>
      <c r="D249" s="9"/>
      <c r="E249" s="208"/>
      <c r="F249" s="13"/>
      <c r="G249" s="13"/>
      <c r="H249" s="157"/>
      <c r="I249" s="157"/>
      <c r="J249" s="157"/>
      <c r="K249" s="157"/>
      <c r="L249" s="157"/>
      <c r="M249" s="157"/>
      <c r="N249" s="157"/>
      <c r="O249" s="157"/>
    </row>
    <row r="250" spans="1:15" s="156" customFormat="1">
      <c r="A250" s="65"/>
      <c r="B250" s="23">
        <v>0.2</v>
      </c>
      <c r="C250" s="117">
        <v>1.25</v>
      </c>
      <c r="D250" s="9"/>
      <c r="E250" s="208"/>
      <c r="F250" s="13"/>
      <c r="G250" s="13"/>
      <c r="H250" s="157"/>
      <c r="I250" s="157"/>
      <c r="J250" s="157"/>
      <c r="K250" s="157"/>
      <c r="L250" s="157"/>
      <c r="M250" s="157"/>
      <c r="N250" s="157"/>
      <c r="O250" s="157"/>
    </row>
    <row r="251" spans="1:15" s="169" customFormat="1">
      <c r="A251" s="65"/>
      <c r="B251" s="186">
        <f ca="1">OFFSET(B245,A246,,,)</f>
        <v>0</v>
      </c>
      <c r="C251" s="205">
        <f ca="1">OFFSET(C245,A246,,)</f>
        <v>0.83333332999999998</v>
      </c>
      <c r="E251" s="283"/>
      <c r="F251" s="209"/>
      <c r="G251" s="209"/>
      <c r="H251" s="209"/>
      <c r="I251" s="209"/>
      <c r="J251" s="209"/>
      <c r="K251" s="209"/>
      <c r="L251" s="209"/>
      <c r="M251" s="209"/>
      <c r="N251" s="209"/>
      <c r="O251" s="209"/>
    </row>
    <row r="252" spans="1:15" s="156" customFormat="1">
      <c r="A252" s="65"/>
      <c r="B252" s="9"/>
      <c r="C252" s="9"/>
      <c r="D252" s="9"/>
      <c r="E252" s="283"/>
      <c r="F252" s="13"/>
      <c r="G252" s="13"/>
      <c r="H252" s="157"/>
      <c r="I252" s="157"/>
      <c r="J252" s="157"/>
      <c r="K252" s="157"/>
      <c r="L252" s="157"/>
      <c r="M252" s="157"/>
      <c r="N252" s="157"/>
      <c r="O252" s="157"/>
    </row>
    <row r="253" spans="1:15" s="156" customFormat="1">
      <c r="A253" s="65"/>
      <c r="B253" s="39" t="s">
        <v>314</v>
      </c>
      <c r="C253" s="9"/>
      <c r="D253" s="9"/>
      <c r="E253" s="283"/>
      <c r="F253" s="13"/>
      <c r="G253" s="13"/>
      <c r="H253" s="157"/>
      <c r="I253" s="157"/>
      <c r="J253" s="157"/>
      <c r="K253" s="157"/>
      <c r="L253" s="157"/>
      <c r="M253" s="157"/>
      <c r="N253" s="157"/>
      <c r="O253" s="157"/>
    </row>
    <row r="254" spans="1:15" s="156" customFormat="1">
      <c r="A254" s="65">
        <v>2</v>
      </c>
      <c r="B254" s="9" t="s">
        <v>31</v>
      </c>
      <c r="C254" s="9"/>
      <c r="D254" s="9"/>
      <c r="E254" s="283"/>
      <c r="F254" s="13"/>
      <c r="G254" s="13"/>
      <c r="H254" s="157"/>
      <c r="I254" s="157"/>
      <c r="J254" s="157"/>
      <c r="K254" s="157"/>
      <c r="L254" s="157"/>
      <c r="M254" s="157"/>
      <c r="N254" s="157"/>
      <c r="O254" s="157"/>
    </row>
    <row r="255" spans="1:15" s="156" customFormat="1">
      <c r="A255" s="65"/>
      <c r="B255" s="9" t="s">
        <v>32</v>
      </c>
      <c r="C255" s="9"/>
      <c r="D255" s="9"/>
      <c r="E255" s="283"/>
      <c r="F255" s="13"/>
      <c r="G255" s="13"/>
      <c r="H255" s="157"/>
      <c r="I255" s="157"/>
      <c r="J255" s="157"/>
      <c r="K255" s="157"/>
      <c r="L255" s="157"/>
      <c r="M255" s="157"/>
      <c r="N255" s="157"/>
      <c r="O255" s="157"/>
    </row>
    <row r="256" spans="1:15" s="156" customFormat="1">
      <c r="A256" s="65"/>
      <c r="B256" s="39" t="str">
        <f ca="1">OFFSET(B253,A254,,)</f>
        <v>ні</v>
      </c>
      <c r="C256" s="9"/>
      <c r="D256" s="9"/>
      <c r="E256" s="283"/>
      <c r="F256" s="13"/>
      <c r="G256" s="13"/>
      <c r="H256" s="157"/>
      <c r="I256" s="157"/>
      <c r="J256" s="157"/>
      <c r="K256" s="157"/>
      <c r="L256" s="157"/>
      <c r="M256" s="157"/>
      <c r="N256" s="157"/>
      <c r="O256" s="157"/>
    </row>
    <row r="257" spans="1:15" s="156" customFormat="1">
      <c r="A257" s="65"/>
      <c r="B257" s="9"/>
      <c r="C257" s="9"/>
      <c r="D257" s="9"/>
      <c r="E257" s="283"/>
      <c r="F257" s="13"/>
      <c r="G257" s="13"/>
      <c r="H257" s="157"/>
      <c r="I257" s="157"/>
      <c r="J257" s="157"/>
      <c r="K257" s="157"/>
      <c r="L257" s="157"/>
      <c r="M257" s="157"/>
      <c r="N257" s="157"/>
      <c r="O257" s="157"/>
    </row>
    <row r="258" spans="1:15" s="156" customFormat="1">
      <c r="A258" s="65"/>
      <c r="B258" s="9"/>
      <c r="C258" s="9"/>
      <c r="D258" s="9"/>
      <c r="E258" s="283"/>
      <c r="F258" s="13"/>
      <c r="G258" s="13"/>
      <c r="H258" s="157"/>
      <c r="I258" s="157"/>
      <c r="J258" s="157"/>
      <c r="K258" s="157"/>
      <c r="L258" s="157"/>
      <c r="M258" s="157"/>
      <c r="N258" s="157"/>
      <c r="O258" s="157"/>
    </row>
    <row r="259" spans="1:15" s="156" customFormat="1">
      <c r="A259" s="65"/>
      <c r="B259" s="179" t="s">
        <v>178</v>
      </c>
      <c r="C259" s="9"/>
      <c r="D259" s="9"/>
      <c r="E259" s="9"/>
      <c r="F259" s="9"/>
      <c r="G259" s="9"/>
    </row>
    <row r="260" spans="1:15" s="156" customFormat="1">
      <c r="A260" s="65">
        <v>2</v>
      </c>
      <c r="B260" s="9" t="s">
        <v>183</v>
      </c>
      <c r="C260" s="9"/>
      <c r="D260" s="9"/>
      <c r="E260" s="9"/>
      <c r="F260" s="9"/>
      <c r="G260" s="9"/>
    </row>
    <row r="261" spans="1:15" s="156" customFormat="1">
      <c r="A261" s="65"/>
      <c r="B261" s="9" t="s">
        <v>184</v>
      </c>
      <c r="C261" s="9"/>
      <c r="D261" s="9"/>
      <c r="E261" s="9"/>
      <c r="F261" s="9"/>
      <c r="G261" s="9"/>
    </row>
    <row r="262" spans="1:15" s="156" customFormat="1">
      <c r="A262" s="65"/>
      <c r="B262" s="39" t="str">
        <f ca="1">OFFSET(B259,A260,,)</f>
        <v>не включено</v>
      </c>
      <c r="C262" s="9"/>
      <c r="D262" s="9"/>
      <c r="E262" s="9"/>
      <c r="F262" s="9"/>
      <c r="G262" s="9"/>
    </row>
    <row r="263" spans="1:15" s="156" customFormat="1">
      <c r="A263" s="65"/>
      <c r="B263" s="9"/>
      <c r="C263" s="9"/>
      <c r="D263" s="9"/>
      <c r="E263" s="9"/>
      <c r="F263" s="9"/>
      <c r="G263" s="9"/>
    </row>
    <row r="264" spans="1:15" s="156" customFormat="1">
      <c r="A264" s="65"/>
      <c r="B264" s="162" t="s">
        <v>180</v>
      </c>
      <c r="C264" s="162" t="s">
        <v>179</v>
      </c>
      <c r="D264" s="9"/>
      <c r="E264" s="9"/>
      <c r="F264" s="9"/>
      <c r="G264" s="9"/>
    </row>
    <row r="265" spans="1:15" s="156" customFormat="1">
      <c r="A265" s="65">
        <v>7</v>
      </c>
      <c r="B265" s="165" t="str">
        <f>IF(A260=1,10000,"")</f>
        <v/>
      </c>
      <c r="C265" s="163" t="str">
        <f>IF(A260=1,0.396%,"")</f>
        <v/>
      </c>
      <c r="D265" s="9"/>
      <c r="E265" s="9"/>
      <c r="F265" s="9"/>
      <c r="G265" s="9"/>
    </row>
    <row r="266" spans="1:15" s="156" customFormat="1">
      <c r="A266" s="65"/>
      <c r="B266" s="165" t="str">
        <f>IF(A260=1,25000,"")</f>
        <v/>
      </c>
      <c r="C266" s="163" t="str">
        <f>IF(A260=1,0.27%,"")</f>
        <v/>
      </c>
      <c r="D266" s="9"/>
      <c r="E266" s="9"/>
      <c r="F266" s="9"/>
      <c r="G266" s="9"/>
    </row>
    <row r="267" spans="1:15" s="156" customFormat="1">
      <c r="A267" s="65"/>
      <c r="B267" s="165" t="str">
        <f>IF(A260=1,50000,"")</f>
        <v/>
      </c>
      <c r="C267" s="163" t="str">
        <f>IF(A260=1,0.2%,"")</f>
        <v/>
      </c>
      <c r="D267" s="9"/>
      <c r="E267" s="9"/>
      <c r="F267" s="9"/>
      <c r="G267" s="9"/>
    </row>
    <row r="268" spans="1:15" s="156" customFormat="1">
      <c r="A268" s="65"/>
      <c r="B268" s="165" t="str">
        <f>IF(A260=1,75000,"")</f>
        <v/>
      </c>
      <c r="C268" s="163" t="str">
        <f>IF(A260=1,0.18%,"")</f>
        <v/>
      </c>
      <c r="D268" s="9"/>
      <c r="E268" s="9"/>
      <c r="F268" s="9"/>
      <c r="G268" s="9"/>
    </row>
    <row r="269" spans="1:15" s="156" customFormat="1">
      <c r="A269" s="65"/>
      <c r="B269" s="165" t="str">
        <f>IF(A260=1,100000,"")</f>
        <v/>
      </c>
      <c r="C269" s="163" t="str">
        <f>IF(A260=1,0.171%,"")</f>
        <v/>
      </c>
      <c r="D269" s="9"/>
      <c r="E269" s="9"/>
      <c r="F269" s="9"/>
      <c r="G269" s="9"/>
    </row>
    <row r="270" spans="1:15" s="156" customFormat="1">
      <c r="A270" s="65"/>
      <c r="B270" s="166" t="str">
        <f>IF(A260=1,125000,"")</f>
        <v/>
      </c>
      <c r="C270" s="164" t="str">
        <f>IF(A260=1,0.167%,"")</f>
        <v/>
      </c>
      <c r="D270" s="9"/>
      <c r="E270" s="9"/>
      <c r="F270" s="9"/>
      <c r="G270" s="9"/>
    </row>
    <row r="271" spans="1:15" s="156" customFormat="1">
      <c r="A271" s="65"/>
      <c r="B271" s="166" t="str">
        <f>IF(A260=1,150000,"")</f>
        <v/>
      </c>
      <c r="C271" s="164" t="str">
        <f>IF(A260=1,0.16%,"")</f>
        <v/>
      </c>
      <c r="D271" s="9"/>
      <c r="E271" s="9"/>
      <c r="F271" s="9"/>
      <c r="G271" s="9"/>
    </row>
    <row r="272" spans="1:15" s="156" customFormat="1">
      <c r="A272" s="65"/>
      <c r="B272" s="166" t="str">
        <f>IF(A260=1,200000,"")</f>
        <v/>
      </c>
      <c r="C272" s="164" t="str">
        <f>IF(A260=1,0.15%,"")</f>
        <v/>
      </c>
      <c r="D272" s="9"/>
      <c r="E272" s="9"/>
      <c r="F272" s="9"/>
      <c r="G272" s="9"/>
    </row>
    <row r="273" spans="1:7" s="156" customFormat="1">
      <c r="A273" s="65"/>
      <c r="B273" s="167" t="str">
        <f ca="1">OFFSET(B264,A265,,,)</f>
        <v/>
      </c>
      <c r="C273" s="168" t="str">
        <f ca="1">OFFSET(C264,A265,,,)</f>
        <v/>
      </c>
      <c r="D273" s="9"/>
      <c r="E273" s="9"/>
      <c r="F273" s="9"/>
      <c r="G273" s="9"/>
    </row>
    <row r="274" spans="1:7" s="156" customFormat="1">
      <c r="A274" s="65"/>
      <c r="B274" s="9"/>
      <c r="C274" s="9"/>
      <c r="D274" s="9"/>
      <c r="E274" s="9"/>
      <c r="F274" s="9"/>
      <c r="G274" s="9"/>
    </row>
    <row r="275" spans="1:7" s="169" customFormat="1">
      <c r="A275" s="65"/>
      <c r="B275" s="189" t="s">
        <v>349</v>
      </c>
      <c r="C275" s="80"/>
    </row>
    <row r="276" spans="1:7" s="156" customFormat="1">
      <c r="A276" s="65"/>
      <c r="B276" s="25" t="s">
        <v>144</v>
      </c>
      <c r="C276" s="25" t="s">
        <v>26</v>
      </c>
      <c r="D276" s="9"/>
      <c r="E276" s="9"/>
      <c r="F276" s="9"/>
      <c r="G276" s="9"/>
    </row>
    <row r="277" spans="1:7" s="156" customFormat="1">
      <c r="A277" s="65">
        <v>4</v>
      </c>
      <c r="B277" s="184">
        <v>0</v>
      </c>
      <c r="C277" s="185">
        <v>0.83299999999999996</v>
      </c>
      <c r="D277" s="9"/>
      <c r="E277" s="9"/>
      <c r="F277" s="9"/>
      <c r="G277" s="9"/>
    </row>
    <row r="278" spans="1:7" s="156" customFormat="1">
      <c r="A278" s="65"/>
      <c r="B278" s="184">
        <v>0.05</v>
      </c>
      <c r="C278" s="210">
        <v>0.90900000000000003</v>
      </c>
      <c r="D278" s="9"/>
      <c r="E278" s="9"/>
      <c r="F278" s="9"/>
      <c r="G278" s="9"/>
    </row>
    <row r="279" spans="1:7" s="156" customFormat="1">
      <c r="A279" s="65"/>
      <c r="B279" s="184">
        <v>0.1</v>
      </c>
      <c r="C279" s="210">
        <v>1</v>
      </c>
      <c r="D279" s="9"/>
      <c r="E279" s="9"/>
      <c r="F279" s="9"/>
      <c r="G279" s="9"/>
    </row>
    <row r="280" spans="1:7" s="156" customFormat="1">
      <c r="A280" s="65"/>
      <c r="B280" s="184">
        <v>0.15</v>
      </c>
      <c r="C280" s="210">
        <v>1.111</v>
      </c>
      <c r="D280" s="9"/>
      <c r="E280" s="9"/>
      <c r="F280" s="9"/>
      <c r="G280" s="9"/>
    </row>
    <row r="281" spans="1:7" s="156" customFormat="1">
      <c r="A281" s="65"/>
      <c r="B281" s="184">
        <v>0.2</v>
      </c>
      <c r="C281" s="210">
        <v>1.25</v>
      </c>
      <c r="D281" s="9"/>
      <c r="E281" s="9"/>
      <c r="F281" s="9"/>
      <c r="G281" s="9"/>
    </row>
    <row r="282" spans="1:7" s="169" customFormat="1">
      <c r="A282" s="65"/>
      <c r="B282" s="186">
        <f ca="1">OFFSET(B276,A277,,,)</f>
        <v>0.15</v>
      </c>
      <c r="C282" s="77">
        <f ca="1">OFFSET(C276,A277,,)</f>
        <v>1.111</v>
      </c>
    </row>
    <row r="283" spans="1:7" s="156" customFormat="1">
      <c r="A283" s="65"/>
      <c r="B283" s="9"/>
      <c r="C283" s="77"/>
      <c r="D283" s="9"/>
      <c r="E283" s="9"/>
      <c r="F283" s="9"/>
      <c r="G283" s="9"/>
    </row>
    <row r="284" spans="1:7" s="156" customFormat="1">
      <c r="A284" s="65"/>
      <c r="B284" s="9"/>
      <c r="C284" s="77"/>
      <c r="D284" s="9"/>
      <c r="E284" s="9"/>
      <c r="F284" s="9"/>
      <c r="G284" s="9"/>
    </row>
    <row r="285" spans="1:7" s="156" customFormat="1">
      <c r="A285" s="65"/>
      <c r="B285" s="179" t="s">
        <v>181</v>
      </c>
      <c r="C285" s="9"/>
      <c r="D285" s="9"/>
      <c r="E285" s="9"/>
      <c r="F285" s="9"/>
      <c r="G285" s="9"/>
    </row>
    <row r="286" spans="1:7" s="156" customFormat="1">
      <c r="A286" s="65">
        <v>2</v>
      </c>
      <c r="B286" s="9" t="s">
        <v>183</v>
      </c>
      <c r="C286" s="9"/>
      <c r="D286" s="9"/>
      <c r="E286" s="9"/>
      <c r="F286" s="9"/>
      <c r="G286" s="9"/>
    </row>
    <row r="287" spans="1:7" s="156" customFormat="1">
      <c r="A287" s="65"/>
      <c r="B287" s="9" t="s">
        <v>184</v>
      </c>
      <c r="C287" s="9"/>
      <c r="D287" s="9"/>
      <c r="E287" s="9"/>
      <c r="F287" s="9"/>
      <c r="G287" s="9"/>
    </row>
    <row r="288" spans="1:7" s="156" customFormat="1">
      <c r="A288" s="65"/>
      <c r="B288" s="39" t="str">
        <f ca="1">OFFSET(B285,A286,,)</f>
        <v>не включено</v>
      </c>
      <c r="C288" s="9"/>
      <c r="E288" s="9"/>
      <c r="F288" s="9"/>
      <c r="G288" s="9"/>
    </row>
    <row r="289" spans="1:16" s="156" customFormat="1">
      <c r="A289" s="65"/>
      <c r="B289" s="39"/>
      <c r="C289" s="9"/>
      <c r="E289" s="9"/>
      <c r="F289" s="9"/>
      <c r="G289" s="9"/>
    </row>
    <row r="290" spans="1:16" s="193" customFormat="1" ht="16.5">
      <c r="A290" s="190"/>
      <c r="B290" s="191" t="s">
        <v>257</v>
      </c>
      <c r="C290" s="192"/>
      <c r="D290" s="192"/>
      <c r="E290" s="192"/>
      <c r="F290" s="192"/>
      <c r="G290" s="192"/>
    </row>
    <row r="291" spans="1:16" s="193" customFormat="1" ht="16.5">
      <c r="A291" s="190">
        <v>2</v>
      </c>
      <c r="B291" s="192" t="s">
        <v>255</v>
      </c>
      <c r="C291" s="192"/>
      <c r="D291" s="192"/>
      <c r="E291" s="192"/>
      <c r="F291" s="192"/>
      <c r="G291" s="192"/>
    </row>
    <row r="292" spans="1:16" s="193" customFormat="1" ht="16.5">
      <c r="A292" s="65"/>
      <c r="B292" s="192" t="s">
        <v>256</v>
      </c>
      <c r="C292" s="192"/>
      <c r="D292" s="192"/>
      <c r="E292" s="192"/>
      <c r="F292" s="192"/>
      <c r="G292" s="192"/>
    </row>
    <row r="293" spans="1:16" s="193" customFormat="1" ht="16.5">
      <c r="A293" s="65"/>
      <c r="B293" s="192" t="s">
        <v>258</v>
      </c>
      <c r="C293" s="192"/>
      <c r="D293" s="192"/>
      <c r="E293" s="192"/>
      <c r="F293" s="192"/>
      <c r="G293" s="192"/>
    </row>
    <row r="294" spans="1:16" s="193" customFormat="1" ht="16.5">
      <c r="A294" s="65"/>
      <c r="B294" s="39" t="str">
        <f ca="1">OFFSET(B290,A291,,)</f>
        <v>Страхується тільки місце водія та переднього пасажира</v>
      </c>
      <c r="C294" s="192"/>
      <c r="D294" s="192"/>
      <c r="E294" s="192"/>
      <c r="F294" s="192"/>
      <c r="G294" s="192"/>
    </row>
    <row r="295" spans="1:16" s="193" customFormat="1" ht="16.5">
      <c r="A295" s="190"/>
      <c r="B295" s="192"/>
      <c r="C295" s="192"/>
      <c r="D295" s="192"/>
      <c r="E295" s="192"/>
      <c r="F295" s="192"/>
      <c r="G295" s="192"/>
    </row>
    <row r="296" spans="1:16" s="156" customFormat="1">
      <c r="A296" s="65"/>
      <c r="B296" s="182" t="s">
        <v>350</v>
      </c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0"/>
      <c r="P296" s="181"/>
    </row>
    <row r="297" spans="1:16" s="156" customFormat="1">
      <c r="A297" s="65"/>
      <c r="B297" s="183" t="s">
        <v>144</v>
      </c>
      <c r="C297" s="213" t="s">
        <v>26</v>
      </c>
      <c r="D297" s="9"/>
      <c r="E297" s="9"/>
      <c r="F297" s="9"/>
      <c r="G297" s="9"/>
    </row>
    <row r="298" spans="1:16" s="156" customFormat="1">
      <c r="A298" s="65">
        <v>6</v>
      </c>
      <c r="B298" s="211">
        <v>0</v>
      </c>
      <c r="C298" s="214">
        <v>0.53300000000000003</v>
      </c>
      <c r="D298" s="9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</row>
    <row r="299" spans="1:16" s="156" customFormat="1">
      <c r="A299" s="65"/>
      <c r="B299" s="211">
        <v>0.05</v>
      </c>
      <c r="C299" s="214">
        <v>0.57099999999999995</v>
      </c>
      <c r="D299" s="9"/>
      <c r="E299" s="13"/>
      <c r="F299" s="13"/>
      <c r="G299" s="13"/>
      <c r="H299" s="157"/>
      <c r="I299" s="157"/>
      <c r="J299" s="157"/>
      <c r="K299" s="157"/>
      <c r="L299" s="157"/>
      <c r="M299" s="157"/>
      <c r="N299" s="157"/>
    </row>
    <row r="300" spans="1:16" s="156" customFormat="1">
      <c r="A300" s="65"/>
      <c r="B300" s="211">
        <v>0.1</v>
      </c>
      <c r="C300" s="214">
        <v>0.61499999999999999</v>
      </c>
      <c r="D300" s="9"/>
      <c r="E300" s="215"/>
      <c r="F300" s="13"/>
      <c r="G300" s="13"/>
      <c r="H300" s="157"/>
      <c r="I300" s="157"/>
      <c r="J300" s="157"/>
      <c r="K300" s="157"/>
      <c r="L300" s="157"/>
      <c r="M300" s="157"/>
      <c r="N300" s="157"/>
    </row>
    <row r="301" spans="1:16" s="156" customFormat="1">
      <c r="A301" s="65"/>
      <c r="B301" s="211">
        <v>0.15</v>
      </c>
      <c r="C301" s="214">
        <v>0.66700000000000004</v>
      </c>
      <c r="D301" s="9"/>
      <c r="E301" s="215"/>
      <c r="F301" s="13"/>
      <c r="G301" s="13"/>
      <c r="H301" s="157"/>
      <c r="I301" s="157"/>
      <c r="J301" s="157"/>
      <c r="K301" s="157"/>
      <c r="L301" s="157"/>
      <c r="M301" s="157"/>
      <c r="N301" s="157"/>
    </row>
    <row r="302" spans="1:16" s="156" customFormat="1">
      <c r="A302" s="65"/>
      <c r="B302" s="211">
        <v>0.2</v>
      </c>
      <c r="C302" s="214">
        <v>0.72699999999999998</v>
      </c>
      <c r="D302" s="9"/>
      <c r="E302" s="215"/>
      <c r="F302" s="13"/>
      <c r="G302" s="13"/>
      <c r="H302" s="157"/>
      <c r="I302" s="157"/>
      <c r="J302" s="157"/>
      <c r="K302" s="157"/>
      <c r="L302" s="157"/>
      <c r="M302" s="157"/>
      <c r="N302" s="157"/>
    </row>
    <row r="303" spans="1:16" s="156" customFormat="1">
      <c r="A303" s="65"/>
      <c r="B303" s="211">
        <v>0.25</v>
      </c>
      <c r="C303" s="214">
        <v>0.8</v>
      </c>
      <c r="D303" s="9"/>
      <c r="E303" s="215"/>
      <c r="F303" s="13"/>
      <c r="G303" s="13"/>
      <c r="H303" s="157"/>
      <c r="I303" s="157"/>
      <c r="J303" s="157"/>
      <c r="K303" s="157"/>
      <c r="L303" s="157"/>
      <c r="M303" s="157"/>
      <c r="N303" s="157"/>
    </row>
    <row r="304" spans="1:16" s="156" customFormat="1">
      <c r="A304" s="65"/>
      <c r="B304" s="211">
        <v>0.3</v>
      </c>
      <c r="C304" s="214">
        <v>0.88900000000000001</v>
      </c>
      <c r="D304" s="9"/>
      <c r="E304" s="215"/>
      <c r="F304" s="13"/>
      <c r="G304" s="13"/>
      <c r="H304" s="157"/>
      <c r="I304" s="157"/>
      <c r="J304" s="157"/>
      <c r="K304" s="157"/>
      <c r="L304" s="157"/>
      <c r="M304" s="157"/>
      <c r="N304" s="157"/>
    </row>
    <row r="305" spans="1:14" s="156" customFormat="1">
      <c r="A305" s="65"/>
      <c r="B305" s="211">
        <v>0.35</v>
      </c>
      <c r="C305" s="214">
        <v>1</v>
      </c>
      <c r="D305" s="9"/>
      <c r="E305" s="215"/>
      <c r="F305" s="13"/>
      <c r="G305" s="13"/>
      <c r="H305" s="157"/>
      <c r="I305" s="157"/>
      <c r="J305" s="157"/>
      <c r="K305" s="157"/>
      <c r="L305" s="157"/>
      <c r="M305" s="157"/>
      <c r="N305" s="157"/>
    </row>
    <row r="306" spans="1:14" s="156" customFormat="1">
      <c r="A306" s="65"/>
      <c r="B306" s="212">
        <v>0.4</v>
      </c>
      <c r="C306" s="214">
        <v>1.143</v>
      </c>
      <c r="D306" s="9"/>
      <c r="E306" s="215"/>
      <c r="F306" s="13"/>
      <c r="G306" s="13"/>
      <c r="H306" s="157"/>
      <c r="I306" s="157"/>
      <c r="J306" s="157"/>
      <c r="K306" s="157"/>
      <c r="L306" s="157"/>
      <c r="M306" s="157"/>
      <c r="N306" s="157"/>
    </row>
    <row r="307" spans="1:14" s="156" customFormat="1">
      <c r="A307" s="65"/>
      <c r="B307" s="212">
        <v>0.45</v>
      </c>
      <c r="C307" s="214">
        <v>1.333</v>
      </c>
      <c r="D307" s="9"/>
      <c r="E307" s="215"/>
      <c r="F307" s="13"/>
      <c r="G307" s="13"/>
      <c r="H307" s="157"/>
      <c r="I307" s="157"/>
      <c r="J307" s="157"/>
      <c r="K307" s="157"/>
      <c r="L307" s="157"/>
      <c r="M307" s="157"/>
      <c r="N307" s="157"/>
    </row>
    <row r="308" spans="1:14" s="169" customFormat="1">
      <c r="A308" s="65"/>
      <c r="B308" s="186">
        <f ca="1">OFFSET(B297,A298,,,)</f>
        <v>0.25</v>
      </c>
      <c r="C308" s="178">
        <f ca="1">OFFSET(C297,A298,,,)</f>
        <v>0.8</v>
      </c>
      <c r="E308" s="215"/>
      <c r="F308" s="209"/>
      <c r="G308" s="209"/>
      <c r="H308" s="209"/>
      <c r="I308" s="209"/>
      <c r="J308" s="209"/>
      <c r="K308" s="209"/>
      <c r="L308" s="209"/>
      <c r="M308" s="209"/>
      <c r="N308" s="209"/>
    </row>
    <row r="309" spans="1:14" s="156" customFormat="1">
      <c r="A309" s="65"/>
      <c r="B309" s="9"/>
      <c r="C309" s="9"/>
      <c r="D309" s="9"/>
      <c r="E309" s="215"/>
      <c r="F309" s="13"/>
      <c r="G309" s="13"/>
      <c r="H309" s="157"/>
      <c r="I309" s="157"/>
      <c r="J309" s="157"/>
      <c r="K309" s="157"/>
      <c r="L309" s="157"/>
      <c r="M309" s="157"/>
      <c r="N309" s="157"/>
    </row>
    <row r="310" spans="1:14" s="156" customFormat="1">
      <c r="A310" s="65"/>
      <c r="B310" s="9"/>
      <c r="C310" s="9"/>
      <c r="D310" s="9"/>
      <c r="E310" s="9"/>
      <c r="F310" s="9"/>
      <c r="G310" s="9"/>
    </row>
    <row r="311" spans="1:14" s="156" customFormat="1">
      <c r="A311" s="65"/>
      <c r="B311" s="179" t="s">
        <v>201</v>
      </c>
      <c r="C311" s="9"/>
      <c r="D311" s="9"/>
      <c r="E311" s="9"/>
      <c r="F311" s="9"/>
      <c r="G311" s="9"/>
    </row>
    <row r="312" spans="1:14" s="156" customFormat="1">
      <c r="A312" s="65"/>
      <c r="B312" s="179"/>
      <c r="C312" s="9"/>
      <c r="D312" s="9"/>
      <c r="E312" s="9"/>
      <c r="F312" s="9"/>
      <c r="G312" s="9"/>
    </row>
    <row r="313" spans="1:14" s="156" customFormat="1">
      <c r="A313" s="65"/>
      <c r="B313" s="179" t="s">
        <v>207</v>
      </c>
      <c r="C313" s="9"/>
      <c r="D313" s="9"/>
      <c r="E313" s="9"/>
      <c r="F313" s="9"/>
      <c r="G313" s="9"/>
    </row>
    <row r="314" spans="1:14" s="156" customFormat="1">
      <c r="A314" s="65">
        <v>1</v>
      </c>
      <c r="B314" s="9" t="s">
        <v>268</v>
      </c>
      <c r="C314" s="9"/>
      <c r="D314" s="9"/>
      <c r="E314" s="9"/>
      <c r="F314" s="9"/>
      <c r="G314" s="9"/>
    </row>
    <row r="315" spans="1:14" s="156" customFormat="1">
      <c r="A315" s="65"/>
      <c r="B315" s="9" t="s">
        <v>249</v>
      </c>
      <c r="C315" s="9"/>
      <c r="D315" s="9"/>
      <c r="E315" s="9"/>
      <c r="F315" s="9"/>
      <c r="G315" s="9"/>
    </row>
    <row r="316" spans="1:14" s="156" customFormat="1">
      <c r="A316" s="65"/>
      <c r="B316" s="9" t="s">
        <v>250</v>
      </c>
      <c r="C316" s="9"/>
      <c r="D316" s="9"/>
      <c r="E316" s="9"/>
      <c r="F316" s="9"/>
      <c r="G316" s="9"/>
    </row>
    <row r="317" spans="1:14" s="156" customFormat="1">
      <c r="A317" s="65"/>
      <c r="B317" s="9" t="s">
        <v>251</v>
      </c>
      <c r="C317" s="9"/>
      <c r="D317" s="9"/>
      <c r="E317" s="9"/>
      <c r="F317" s="9"/>
      <c r="G317" s="9"/>
    </row>
    <row r="318" spans="1:14" s="156" customFormat="1">
      <c r="A318" s="65"/>
      <c r="B318" s="9" t="s">
        <v>252</v>
      </c>
      <c r="C318" s="9"/>
      <c r="D318" s="9"/>
      <c r="E318" s="9"/>
      <c r="F318" s="9"/>
      <c r="G318" s="9"/>
    </row>
    <row r="319" spans="1:14" s="156" customFormat="1">
      <c r="A319" s="65"/>
      <c r="B319" s="179" t="str">
        <f ca="1">OFFSET(B313,A314,,,)</f>
        <v>бензин</v>
      </c>
      <c r="C319" s="9"/>
      <c r="D319" s="9"/>
      <c r="E319" s="9"/>
      <c r="F319" s="9"/>
      <c r="G319" s="9"/>
    </row>
    <row r="320" spans="1:14" s="156" customFormat="1">
      <c r="A320" s="65"/>
      <c r="B320" s="9"/>
      <c r="C320" s="9"/>
      <c r="D320" s="9"/>
      <c r="E320" s="9"/>
      <c r="F320" s="9"/>
      <c r="G320" s="9"/>
    </row>
    <row r="321" spans="1:34" s="156" customFormat="1">
      <c r="A321" s="65"/>
      <c r="B321" s="179" t="s">
        <v>261</v>
      </c>
      <c r="C321" s="9"/>
      <c r="D321" s="9"/>
      <c r="E321" s="9"/>
      <c r="F321" s="9"/>
      <c r="G321" s="9"/>
    </row>
    <row r="322" spans="1:34" s="156" customFormat="1">
      <c r="A322" s="65">
        <v>1</v>
      </c>
      <c r="B322" s="9" t="s">
        <v>262</v>
      </c>
      <c r="C322" s="9"/>
      <c r="D322" s="9"/>
      <c r="E322" s="9"/>
      <c r="F322" s="9"/>
      <c r="G322" s="9"/>
    </row>
    <row r="323" spans="1:34" s="156" customFormat="1">
      <c r="A323" s="65"/>
      <c r="B323" s="9" t="s">
        <v>263</v>
      </c>
      <c r="C323" s="9"/>
      <c r="D323" s="9"/>
      <c r="E323" s="9"/>
      <c r="F323" s="9"/>
      <c r="G323" s="9"/>
    </row>
    <row r="324" spans="1:34" s="156" customFormat="1">
      <c r="A324" s="65"/>
      <c r="B324" s="179" t="str">
        <f ca="1">OFFSET(B321,A322,,,)</f>
        <v>ринкова</v>
      </c>
      <c r="C324" s="9"/>
      <c r="D324" s="9"/>
      <c r="E324" s="9"/>
      <c r="F324" s="9"/>
      <c r="G324" s="9"/>
    </row>
    <row r="325" spans="1:34" s="156" customFormat="1">
      <c r="A325" s="65"/>
      <c r="B325" s="9"/>
      <c r="C325" s="9"/>
      <c r="D325" s="9"/>
      <c r="E325" s="9"/>
      <c r="F325" s="9"/>
      <c r="G325" s="9"/>
    </row>
    <row r="326" spans="1:34" s="156" customFormat="1">
      <c r="A326" s="65"/>
      <c r="B326" s="179" t="s">
        <v>264</v>
      </c>
      <c r="C326" s="9"/>
      <c r="D326" s="9"/>
      <c r="E326" s="9"/>
      <c r="F326" s="9"/>
      <c r="G326" s="9"/>
    </row>
    <row r="327" spans="1:34" s="195" customFormat="1">
      <c r="A327" s="65"/>
      <c r="B327" s="199" t="s">
        <v>212</v>
      </c>
      <c r="C327" s="199" t="b">
        <v>1</v>
      </c>
      <c r="D327" s="199" t="s">
        <v>213</v>
      </c>
      <c r="E327" s="199" t="b">
        <v>1</v>
      </c>
      <c r="F327" s="199" t="s">
        <v>214</v>
      </c>
      <c r="G327" s="199" t="b">
        <v>0</v>
      </c>
      <c r="H327" s="196"/>
      <c r="I327" s="196"/>
      <c r="J327" s="196"/>
      <c r="K327" s="196"/>
      <c r="L327" s="197"/>
      <c r="M327" s="198"/>
      <c r="N327" s="198"/>
      <c r="O327" s="198"/>
      <c r="P327" s="198"/>
      <c r="Q327" s="198"/>
      <c r="R327" s="196"/>
      <c r="S327" s="196"/>
      <c r="T327" s="196"/>
      <c r="U327" s="196"/>
      <c r="V327" s="197"/>
      <c r="W327" s="198"/>
      <c r="X327" s="198"/>
      <c r="Y327" s="198"/>
      <c r="Z327" s="198"/>
      <c r="AA327" s="198"/>
      <c r="AB327" s="198"/>
      <c r="AC327" s="198"/>
      <c r="AD327" s="198"/>
      <c r="AE327" s="196"/>
      <c r="AF327" s="196"/>
      <c r="AG327" s="196"/>
      <c r="AH327" s="196"/>
    </row>
    <row r="328" spans="1:34" s="195" customFormat="1">
      <c r="A328" s="65"/>
      <c r="B328" s="199" t="s">
        <v>215</v>
      </c>
      <c r="C328" s="199" t="b">
        <v>1</v>
      </c>
      <c r="D328" s="199" t="s">
        <v>216</v>
      </c>
      <c r="E328" s="199" t="b">
        <v>1</v>
      </c>
      <c r="F328" s="199" t="s">
        <v>217</v>
      </c>
      <c r="G328" s="199" t="b">
        <v>1</v>
      </c>
      <c r="H328" s="196"/>
      <c r="I328" s="196"/>
      <c r="J328" s="196"/>
      <c r="K328" s="196"/>
      <c r="L328" s="197"/>
      <c r="M328" s="198"/>
      <c r="N328" s="198"/>
      <c r="O328" s="198"/>
      <c r="P328" s="198"/>
      <c r="Q328" s="198"/>
      <c r="R328" s="196"/>
      <c r="S328" s="196"/>
      <c r="T328" s="196"/>
      <c r="U328" s="196"/>
      <c r="V328" s="197"/>
      <c r="W328" s="198"/>
      <c r="X328" s="198"/>
      <c r="Y328" s="198"/>
      <c r="Z328" s="198"/>
      <c r="AA328" s="198"/>
      <c r="AB328" s="198"/>
      <c r="AC328" s="198"/>
      <c r="AD328" s="198"/>
      <c r="AE328" s="196"/>
      <c r="AF328" s="196"/>
      <c r="AG328" s="196"/>
      <c r="AH328" s="196"/>
    </row>
    <row r="329" spans="1:34" s="195" customFormat="1">
      <c r="A329" s="65"/>
      <c r="B329" s="199" t="s">
        <v>218</v>
      </c>
      <c r="C329" s="199" t="b">
        <v>1</v>
      </c>
      <c r="D329" s="199" t="s">
        <v>219</v>
      </c>
      <c r="E329" s="199" t="b">
        <v>0</v>
      </c>
      <c r="F329" s="199" t="s">
        <v>220</v>
      </c>
      <c r="G329" s="199" t="b">
        <v>0</v>
      </c>
      <c r="H329" s="196"/>
      <c r="I329" s="196"/>
      <c r="J329" s="196"/>
      <c r="K329" s="196"/>
      <c r="L329" s="197"/>
      <c r="M329" s="198"/>
      <c r="N329" s="198"/>
      <c r="O329" s="198"/>
      <c r="P329" s="198"/>
      <c r="Q329" s="198"/>
      <c r="R329" s="196"/>
      <c r="S329" s="196"/>
      <c r="T329" s="196"/>
      <c r="U329" s="196"/>
      <c r="V329" s="197"/>
      <c r="W329" s="198"/>
      <c r="X329" s="198"/>
      <c r="Y329" s="198"/>
      <c r="Z329" s="198"/>
      <c r="AA329" s="198"/>
      <c r="AB329" s="198"/>
      <c r="AC329" s="198"/>
      <c r="AD329" s="198"/>
      <c r="AE329" s="196"/>
      <c r="AF329" s="196"/>
      <c r="AG329" s="196"/>
      <c r="AH329" s="196"/>
    </row>
    <row r="330" spans="1:34" s="195" customFormat="1">
      <c r="A330" s="65"/>
      <c r="B330" s="199" t="s">
        <v>221</v>
      </c>
      <c r="C330" s="199" t="b">
        <v>0</v>
      </c>
      <c r="D330" s="199" t="s">
        <v>222</v>
      </c>
      <c r="E330" s="199" t="b">
        <v>1</v>
      </c>
      <c r="F330" s="199" t="s">
        <v>223</v>
      </c>
      <c r="G330" s="199" t="b">
        <v>0</v>
      </c>
      <c r="H330" s="196"/>
      <c r="I330" s="196"/>
      <c r="J330" s="196"/>
      <c r="K330" s="196"/>
      <c r="L330" s="197"/>
      <c r="M330" s="198"/>
      <c r="N330" s="198"/>
      <c r="O330" s="198"/>
      <c r="P330" s="198"/>
      <c r="Q330" s="198"/>
      <c r="R330" s="196"/>
      <c r="S330" s="196"/>
      <c r="T330" s="196"/>
      <c r="U330" s="196"/>
      <c r="V330" s="197"/>
      <c r="W330" s="198"/>
      <c r="X330" s="198"/>
      <c r="Y330" s="198"/>
      <c r="Z330" s="198"/>
      <c r="AA330" s="198"/>
      <c r="AB330" s="198"/>
      <c r="AC330" s="198"/>
      <c r="AD330" s="198"/>
      <c r="AE330" s="196"/>
      <c r="AF330" s="196"/>
      <c r="AG330" s="196"/>
      <c r="AH330" s="196"/>
    </row>
    <row r="331" spans="1:34" s="195" customFormat="1">
      <c r="A331" s="65"/>
      <c r="B331" s="199" t="s">
        <v>224</v>
      </c>
      <c r="C331" s="199" t="b">
        <v>0</v>
      </c>
      <c r="D331" s="199" t="s">
        <v>225</v>
      </c>
      <c r="E331" s="199" t="b">
        <v>0</v>
      </c>
      <c r="F331" s="199" t="s">
        <v>226</v>
      </c>
      <c r="G331" s="199" t="b">
        <v>0</v>
      </c>
      <c r="H331" s="196"/>
      <c r="I331" s="196"/>
      <c r="J331" s="196"/>
      <c r="K331" s="196"/>
      <c r="L331" s="197"/>
      <c r="M331" s="198"/>
      <c r="N331" s="198"/>
      <c r="O331" s="198"/>
      <c r="P331" s="198"/>
      <c r="Q331" s="198"/>
      <c r="R331" s="196"/>
      <c r="S331" s="196"/>
      <c r="T331" s="196"/>
      <c r="U331" s="196"/>
      <c r="V331" s="197"/>
      <c r="W331" s="198"/>
      <c r="X331" s="198"/>
      <c r="Y331" s="198"/>
      <c r="Z331" s="198"/>
      <c r="AA331" s="198"/>
      <c r="AB331" s="198"/>
      <c r="AC331" s="198"/>
      <c r="AD331" s="198"/>
      <c r="AE331" s="196"/>
      <c r="AF331" s="196"/>
      <c r="AG331" s="196"/>
      <c r="AH331" s="196"/>
    </row>
    <row r="332" spans="1:34" s="195" customFormat="1">
      <c r="A332" s="65"/>
      <c r="B332" s="199" t="s">
        <v>227</v>
      </c>
      <c r="C332" s="199" t="b">
        <v>0</v>
      </c>
      <c r="D332" s="199" t="s">
        <v>228</v>
      </c>
      <c r="E332" s="199" t="b">
        <v>1</v>
      </c>
      <c r="F332" s="199" t="s">
        <v>229</v>
      </c>
      <c r="G332" s="199" t="b">
        <v>0</v>
      </c>
      <c r="H332" s="196"/>
      <c r="I332" s="196"/>
      <c r="J332" s="196"/>
      <c r="K332" s="196"/>
      <c r="L332" s="197"/>
      <c r="M332" s="198"/>
      <c r="N332" s="198"/>
      <c r="O332" s="198"/>
      <c r="P332" s="198"/>
      <c r="Q332" s="198"/>
      <c r="R332" s="196"/>
      <c r="S332" s="196"/>
      <c r="T332" s="196"/>
      <c r="U332" s="196"/>
      <c r="V332" s="197"/>
      <c r="W332" s="198"/>
      <c r="X332" s="198"/>
      <c r="Y332" s="198"/>
      <c r="Z332" s="198"/>
      <c r="AA332" s="198"/>
      <c r="AB332" s="198"/>
      <c r="AC332" s="198"/>
      <c r="AD332" s="198"/>
      <c r="AE332" s="196"/>
      <c r="AF332" s="196"/>
      <c r="AG332" s="196"/>
      <c r="AH332" s="196"/>
    </row>
    <row r="333" spans="1:34" s="195" customFormat="1">
      <c r="A333" s="65"/>
      <c r="B333" s="199" t="s">
        <v>230</v>
      </c>
      <c r="C333" s="199" t="b">
        <v>0</v>
      </c>
      <c r="D333" s="199" t="s">
        <v>231</v>
      </c>
      <c r="E333" s="199" t="b">
        <v>1</v>
      </c>
      <c r="F333" s="199" t="s">
        <v>232</v>
      </c>
      <c r="G333" s="199" t="b">
        <v>1</v>
      </c>
      <c r="H333" s="196"/>
      <c r="I333" s="196"/>
      <c r="J333" s="196"/>
      <c r="K333" s="196"/>
      <c r="L333" s="197"/>
      <c r="M333" s="198"/>
      <c r="N333" s="198"/>
      <c r="O333" s="198"/>
      <c r="P333" s="198"/>
      <c r="Q333" s="198"/>
      <c r="R333" s="196"/>
      <c r="S333" s="196"/>
      <c r="T333" s="196"/>
      <c r="U333" s="196"/>
      <c r="V333" s="197"/>
      <c r="W333" s="198"/>
      <c r="X333" s="198"/>
      <c r="Y333" s="198"/>
      <c r="Z333" s="198"/>
      <c r="AA333" s="198"/>
      <c r="AB333" s="198"/>
      <c r="AC333" s="198"/>
      <c r="AD333" s="198"/>
      <c r="AE333" s="196"/>
      <c r="AF333" s="196"/>
      <c r="AG333" s="196"/>
      <c r="AH333" s="196"/>
    </row>
    <row r="334" spans="1:34" s="195" customFormat="1">
      <c r="A334" s="65"/>
      <c r="B334" s="199" t="s">
        <v>233</v>
      </c>
      <c r="C334" s="199" t="b">
        <v>1</v>
      </c>
      <c r="D334" s="199" t="s">
        <v>234</v>
      </c>
      <c r="E334" s="199" t="b">
        <v>1</v>
      </c>
      <c r="F334" s="199" t="s">
        <v>235</v>
      </c>
      <c r="G334" s="199" t="b">
        <v>0</v>
      </c>
      <c r="H334" s="196"/>
      <c r="I334" s="196"/>
      <c r="J334" s="196"/>
      <c r="K334" s="196"/>
      <c r="L334" s="197"/>
      <c r="M334" s="198"/>
      <c r="N334" s="198"/>
      <c r="O334" s="198"/>
      <c r="P334" s="198"/>
      <c r="Q334" s="198"/>
      <c r="R334" s="196"/>
      <c r="S334" s="196"/>
      <c r="T334" s="196"/>
      <c r="U334" s="196"/>
      <c r="V334" s="197"/>
      <c r="W334" s="198"/>
      <c r="X334" s="198"/>
      <c r="Y334" s="198"/>
      <c r="Z334" s="198"/>
      <c r="AA334" s="198"/>
      <c r="AB334" s="198"/>
      <c r="AC334" s="198"/>
      <c r="AD334" s="198"/>
      <c r="AE334" s="196"/>
      <c r="AF334" s="196"/>
      <c r="AG334" s="196"/>
      <c r="AH334" s="196"/>
    </row>
    <row r="335" spans="1:34" s="156" customFormat="1">
      <c r="A335" s="65"/>
      <c r="B335" s="9"/>
      <c r="C335" s="9"/>
      <c r="D335" s="9"/>
      <c r="E335" s="9"/>
      <c r="F335" s="9"/>
      <c r="G335" s="9"/>
    </row>
    <row r="336" spans="1:34" s="156" customFormat="1">
      <c r="A336" s="65"/>
      <c r="B336" s="179" t="s">
        <v>265</v>
      </c>
      <c r="C336" s="9"/>
      <c r="D336" s="9"/>
      <c r="E336" s="9"/>
      <c r="F336" s="9"/>
      <c r="G336" s="9"/>
    </row>
    <row r="337" spans="1:7" s="156" customFormat="1">
      <c r="A337" s="65">
        <v>2</v>
      </c>
      <c r="B337" s="9" t="s">
        <v>269</v>
      </c>
      <c r="C337" s="9"/>
      <c r="D337" s="9"/>
      <c r="E337" s="9"/>
      <c r="F337" s="9"/>
      <c r="G337" s="9"/>
    </row>
    <row r="338" spans="1:7" s="156" customFormat="1">
      <c r="A338" s="65"/>
      <c r="B338" s="9" t="s">
        <v>236</v>
      </c>
      <c r="C338" s="9" t="b">
        <v>1</v>
      </c>
      <c r="D338" s="9"/>
      <c r="E338" s="9"/>
      <c r="F338" s="9"/>
      <c r="G338" s="9"/>
    </row>
    <row r="339" spans="1:7" s="156" customFormat="1">
      <c r="A339" s="65"/>
      <c r="B339" s="9" t="s">
        <v>237</v>
      </c>
      <c r="C339" s="9"/>
      <c r="D339" s="9"/>
      <c r="E339" s="9"/>
      <c r="F339" s="9"/>
      <c r="G339" s="9"/>
    </row>
    <row r="340" spans="1:7">
      <c r="B340" s="9" t="s">
        <v>266</v>
      </c>
    </row>
    <row r="341" spans="1:7">
      <c r="B341" s="179" t="str">
        <f ca="1">OFFSET(B336,A337,,,)</f>
        <v>передні</v>
      </c>
    </row>
    <row r="343" spans="1:7">
      <c r="B343" s="179" t="s">
        <v>238</v>
      </c>
      <c r="C343" s="200"/>
    </row>
    <row r="344" spans="1:7">
      <c r="A344" s="65">
        <v>1</v>
      </c>
      <c r="B344" s="9" t="s">
        <v>267</v>
      </c>
    </row>
    <row r="345" spans="1:7">
      <c r="B345" s="9" t="s">
        <v>251</v>
      </c>
    </row>
    <row r="346" spans="1:7">
      <c r="B346" s="9" t="s">
        <v>270</v>
      </c>
    </row>
    <row r="347" spans="1:7">
      <c r="B347" s="179" t="str">
        <f ca="1">OFFSET(B343,A344,,,)</f>
        <v>відсутній</v>
      </c>
    </row>
    <row r="349" spans="1:7">
      <c r="B349" s="179" t="s">
        <v>271</v>
      </c>
    </row>
    <row r="350" spans="1:7">
      <c r="A350" s="65">
        <v>2</v>
      </c>
      <c r="B350" s="9" t="s">
        <v>239</v>
      </c>
    </row>
    <row r="351" spans="1:7">
      <c r="B351" s="9" t="s">
        <v>240</v>
      </c>
    </row>
    <row r="352" spans="1:7">
      <c r="B352" s="179" t="str">
        <f ca="1">OFFSET(B349,A350,,,)</f>
        <v>електричні</v>
      </c>
    </row>
    <row r="354" spans="1:2">
      <c r="B354" s="179" t="s">
        <v>241</v>
      </c>
    </row>
    <row r="355" spans="1:2">
      <c r="A355" s="65">
        <v>1</v>
      </c>
      <c r="B355" s="9" t="s">
        <v>269</v>
      </c>
    </row>
    <row r="356" spans="1:2">
      <c r="B356" s="9" t="s">
        <v>236</v>
      </c>
    </row>
    <row r="357" spans="1:2">
      <c r="B357" s="9" t="s">
        <v>237</v>
      </c>
    </row>
    <row r="358" spans="1:2">
      <c r="B358" s="9" t="s">
        <v>266</v>
      </c>
    </row>
    <row r="359" spans="1:2">
      <c r="B359" s="179" t="str">
        <f ca="1">OFFSET(B354,A355,,,)</f>
        <v>відсутні</v>
      </c>
    </row>
    <row r="361" spans="1:2">
      <c r="B361" s="179" t="s">
        <v>272</v>
      </c>
    </row>
    <row r="362" spans="1:2">
      <c r="A362" s="65">
        <v>2</v>
      </c>
      <c r="B362" s="9" t="s">
        <v>242</v>
      </c>
    </row>
    <row r="363" spans="1:2">
      <c r="B363" s="9" t="s">
        <v>243</v>
      </c>
    </row>
    <row r="364" spans="1:2">
      <c r="B364" s="9" t="s">
        <v>244</v>
      </c>
    </row>
    <row r="365" spans="1:2">
      <c r="B365" s="179" t="str">
        <f ca="1">OFFSET(B361,A362,,,)</f>
        <v>велюр</v>
      </c>
    </row>
    <row r="367" spans="1:2">
      <c r="B367" s="179" t="s">
        <v>245</v>
      </c>
    </row>
    <row r="368" spans="1:2">
      <c r="A368" s="65">
        <v>2</v>
      </c>
      <c r="B368" s="9" t="s">
        <v>269</v>
      </c>
    </row>
    <row r="369" spans="2:2">
      <c r="B369" s="9" t="s">
        <v>246</v>
      </c>
    </row>
    <row r="370" spans="2:2">
      <c r="B370" s="9" t="s">
        <v>247</v>
      </c>
    </row>
    <row r="371" spans="2:2">
      <c r="B371" s="179" t="str">
        <f ca="1">OFFSET(B367,A368,,,)</f>
        <v>литі</v>
      </c>
    </row>
  </sheetData>
  <sheetProtection selectLockedCells="1" selectUnlockedCells="1"/>
  <mergeCells count="24">
    <mergeCell ref="E255:E256"/>
    <mergeCell ref="E257:E258"/>
    <mergeCell ref="E246:G246"/>
    <mergeCell ref="E96:F96"/>
    <mergeCell ref="C95:F95"/>
    <mergeCell ref="G95:H95"/>
    <mergeCell ref="E251:E252"/>
    <mergeCell ref="E253:E254"/>
    <mergeCell ref="H246:I246"/>
    <mergeCell ref="J246:K246"/>
    <mergeCell ref="L246:M246"/>
    <mergeCell ref="N246:O246"/>
    <mergeCell ref="C3:J3"/>
    <mergeCell ref="D80:F80"/>
    <mergeCell ref="B44:P44"/>
    <mergeCell ref="E45:G45"/>
    <mergeCell ref="B93:F93"/>
    <mergeCell ref="C162:F162"/>
    <mergeCell ref="C96:D96"/>
    <mergeCell ref="C120:F120"/>
    <mergeCell ref="C121:D121"/>
    <mergeCell ref="B120:B122"/>
    <mergeCell ref="E121:F121"/>
    <mergeCell ref="C94:H9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K79"/>
  <sheetViews>
    <sheetView zoomScale="120" zoomScaleNormal="120" workbookViewId="0">
      <selection activeCell="C8" sqref="C8"/>
    </sheetView>
  </sheetViews>
  <sheetFormatPr defaultRowHeight="12.75"/>
  <cols>
    <col min="1" max="1" width="66.28515625" style="27" customWidth="1"/>
    <col min="2" max="2" width="18" style="29" customWidth="1"/>
    <col min="3" max="3" width="58.85546875" customWidth="1"/>
  </cols>
  <sheetData>
    <row r="1" spans="1:11">
      <c r="A1" s="28" t="s">
        <v>348</v>
      </c>
      <c r="C1" s="6"/>
      <c r="D1" s="6"/>
      <c r="E1" s="6"/>
      <c r="F1" s="6"/>
      <c r="G1" s="6"/>
      <c r="H1" s="6"/>
      <c r="I1" s="6"/>
      <c r="J1" s="6"/>
      <c r="K1" s="6"/>
    </row>
    <row r="2" spans="1:11" s="30" customFormat="1">
      <c r="A2" s="31" t="s">
        <v>41</v>
      </c>
      <c r="B2" s="32" t="s">
        <v>9</v>
      </c>
    </row>
    <row r="3" spans="1:11" ht="15.75">
      <c r="A3" s="33" t="s">
        <v>42</v>
      </c>
      <c r="B3" s="34">
        <v>0.9</v>
      </c>
      <c r="C3" s="36" t="str">
        <f>IF(Коефіцієнти!$A$5&lt;3,'Територія ДС НТ'!A3,"")</f>
        <v>АР Крим, всі міста та р-ни</v>
      </c>
      <c r="D3" s="66">
        <v>32</v>
      </c>
      <c r="E3" s="66">
        <f ca="1">IF(Коефіцієнти!$A$5&lt;6,OFFSET(B2,D3,,),1)</f>
        <v>1</v>
      </c>
      <c r="F3" s="78" t="str">
        <f ca="1">OFFSET(C2,D3,,)</f>
        <v xml:space="preserve">Київська обл., м.Київ </v>
      </c>
    </row>
    <row r="4" spans="1:11">
      <c r="A4" s="33" t="s">
        <v>43</v>
      </c>
      <c r="B4" s="34">
        <v>0.85</v>
      </c>
      <c r="C4" s="36" t="str">
        <f>IF(Коефіцієнти!$A$5&lt;3,'Територія ДС НТ'!A4,"")</f>
        <v>Вінницька обл., м.Вінниця, Вінницький р-н</v>
      </c>
    </row>
    <row r="5" spans="1:11">
      <c r="A5" s="33" t="s">
        <v>194</v>
      </c>
      <c r="B5" s="34">
        <v>0.8</v>
      </c>
      <c r="C5" s="36" t="str">
        <f>IF(Коефіцієнти!$A$5&lt;3,'Територія ДС НТ'!A5,"")</f>
        <v>Вінницька обл., всі міста та р-ни області крім м.Вінниця, Вінницький р-н</v>
      </c>
    </row>
    <row r="6" spans="1:11">
      <c r="A6" s="33" t="s">
        <v>195</v>
      </c>
      <c r="B6" s="34">
        <v>0.85</v>
      </c>
      <c r="C6" s="36" t="str">
        <f>IF(Коефіцієнти!$A$5&lt;3,'Територія ДС НТ'!A6,"")</f>
        <v>Волинська обл., м.Луцьк, Луцький р-н</v>
      </c>
    </row>
    <row r="7" spans="1:11">
      <c r="A7" s="33" t="s">
        <v>196</v>
      </c>
      <c r="B7" s="34">
        <v>0.8</v>
      </c>
      <c r="C7" s="36" t="str">
        <f>IF(Коефіцієнти!$A$5&lt;3,'Територія ДС НТ'!A7,"")</f>
        <v>Волинська обл., всі міста та р-ни області крім м.Луцьк, Луцький р-н</v>
      </c>
    </row>
    <row r="8" spans="1:11">
      <c r="A8" s="33" t="s">
        <v>197</v>
      </c>
      <c r="B8" s="34">
        <v>0.9</v>
      </c>
      <c r="C8" s="36" t="str">
        <f>IF(Коефіцієнти!$A$5&lt;3,'Територія ДС НТ'!A8,"")</f>
        <v>Дніпропетрівська обл., м.Дніпропетровськ, Дніпропетровський р-н</v>
      </c>
    </row>
    <row r="9" spans="1:11">
      <c r="A9" s="33" t="s">
        <v>186</v>
      </c>
      <c r="B9" s="34">
        <v>0.9</v>
      </c>
      <c r="C9" s="36" t="str">
        <f>IF(Коефіцієнти!$A$5&lt;3,'Територія ДС НТ'!A9,"")</f>
        <v>Дніпропетрівська обл., м.Кривий Ріг, Криворізький р-н</v>
      </c>
    </row>
    <row r="10" spans="1:11">
      <c r="A10" s="33" t="s">
        <v>44</v>
      </c>
      <c r="B10" s="34">
        <v>0.85</v>
      </c>
      <c r="C10" s="36" t="str">
        <f>IF(Коефіцієнти!$A$5&lt;3,'Територія ДС НТ'!A10,"")</f>
        <v>Дніпропетрівська обл., м.Дніпродзержинськ, Дніпродзержинськ</v>
      </c>
    </row>
    <row r="11" spans="1:11">
      <c r="A11" s="33" t="s">
        <v>45</v>
      </c>
      <c r="B11" s="34">
        <v>0.85</v>
      </c>
      <c r="C11" s="36" t="str">
        <f>IF(Коефіцієнти!$A$5&lt;3,'Територія ДС НТ'!A11,"")</f>
        <v>Дніпропетрівська обл., м.Нікополь, Нікопольський р-н</v>
      </c>
    </row>
    <row r="12" spans="1:11">
      <c r="A12" s="33" t="s">
        <v>46</v>
      </c>
      <c r="B12" s="34">
        <v>0.85</v>
      </c>
      <c r="C12" s="36" t="str">
        <f>IF(Коефіцієнти!$A$5&lt;3,'Територія ДС НТ'!A12,"")</f>
        <v>Дніпропетрівська обл., м.Павлоград, Павлоградський р-н</v>
      </c>
    </row>
    <row r="13" spans="1:11">
      <c r="A13" s="33" t="s">
        <v>198</v>
      </c>
      <c r="B13" s="34">
        <v>0.8</v>
      </c>
      <c r="C13" s="36" t="str">
        <f>IF(Коефіцієнти!$A$5&lt;3,'Територія ДС НТ'!A13,"")</f>
        <v>Дніпропетрівська обл., всі міста та р-ни області крім вказаних вище</v>
      </c>
    </row>
    <row r="14" spans="1:11">
      <c r="A14" s="33" t="s">
        <v>47</v>
      </c>
      <c r="B14" s="34">
        <v>0.9</v>
      </c>
      <c r="C14" s="36" t="str">
        <f>IF(Коефіцієнти!$A$5&lt;3,'Територія ДС НТ'!A14,"")</f>
        <v>Донецька обл., м.Донецьк</v>
      </c>
    </row>
    <row r="15" spans="1:11">
      <c r="A15" s="33" t="s">
        <v>48</v>
      </c>
      <c r="B15" s="34">
        <v>0.9</v>
      </c>
      <c r="C15" s="36" t="str">
        <f>IF(Коефіцієнти!$A$5&lt;3,'Територія ДС НТ'!A15,"")</f>
        <v>Донецька обл., м.Шахтарськ, Шахтарський р-н</v>
      </c>
    </row>
    <row r="16" spans="1:11">
      <c r="A16" s="33" t="s">
        <v>49</v>
      </c>
      <c r="B16" s="34">
        <v>0.85</v>
      </c>
      <c r="C16" s="36" t="str">
        <f>IF(Коефіцієнти!$A$5&lt;3,'Територія ДС НТ'!A16,"")</f>
        <v>Донецька обл., м.Горлівка</v>
      </c>
    </row>
    <row r="17" spans="1:3">
      <c r="A17" s="33" t="s">
        <v>50</v>
      </c>
      <c r="B17" s="34">
        <v>0.85</v>
      </c>
      <c r="C17" s="36" t="str">
        <f>IF(Коефіцієнти!$A$5&lt;3,'Територія ДС НТ'!A17,"")</f>
        <v>Донецька обл., м.Єнакієве, Єнакієве</v>
      </c>
    </row>
    <row r="18" spans="1:3">
      <c r="A18" s="33" t="s">
        <v>51</v>
      </c>
      <c r="B18" s="34">
        <v>0.85</v>
      </c>
      <c r="C18" s="36" t="str">
        <f>IF(Коефіцієнти!$A$5&lt;3,'Територія ДС НТ'!A18,"")</f>
        <v>Донецька обл., м.Краматорськ</v>
      </c>
    </row>
    <row r="19" spans="1:3">
      <c r="A19" s="33" t="s">
        <v>52</v>
      </c>
      <c r="B19" s="34">
        <v>0.85</v>
      </c>
      <c r="C19" s="36" t="str">
        <f>IF(Коефіцієнти!$A$5&lt;3,'Територія ДС НТ'!A19,"")</f>
        <v>Донецька обл., м.Макіївка</v>
      </c>
    </row>
    <row r="20" spans="1:3">
      <c r="A20" s="33" t="s">
        <v>53</v>
      </c>
      <c r="B20" s="34">
        <v>0.85</v>
      </c>
      <c r="C20" s="36" t="str">
        <f>IF(Коефіцієнти!$A$5&lt;3,'Територія ДС НТ'!A20,"")</f>
        <v>Донецька обл., м.Маріуполь</v>
      </c>
    </row>
    <row r="21" spans="1:3">
      <c r="A21" s="33" t="s">
        <v>54</v>
      </c>
      <c r="B21" s="34">
        <v>0.85</v>
      </c>
      <c r="C21" s="36" t="str">
        <f>IF(Коефіцієнти!$A$5&lt;3,'Територія ДС НТ'!A21,"")</f>
        <v>Донецька обл., м.Слов'янськ, Слов'янський р-н</v>
      </c>
    </row>
    <row r="22" spans="1:3">
      <c r="A22" s="33" t="s">
        <v>55</v>
      </c>
      <c r="B22" s="34">
        <v>0.8</v>
      </c>
      <c r="C22" s="36" t="str">
        <f>IF(Коефіцієнти!$A$5&lt;3,'Територія ДС НТ'!A22,"")</f>
        <v>Донецька обл., всі міста та р-ни крім вказаних вище</v>
      </c>
    </row>
    <row r="23" spans="1:3">
      <c r="A23" s="33" t="s">
        <v>56</v>
      </c>
      <c r="B23" s="34">
        <v>0.85</v>
      </c>
      <c r="C23" s="36" t="str">
        <f>IF(Коефіцієнти!$A$5&lt;3,'Територія ДС НТ'!A23,"")</f>
        <v>Житомирська обл., м.Житомир, Житомирський р-н</v>
      </c>
    </row>
    <row r="24" spans="1:3">
      <c r="A24" s="33" t="s">
        <v>57</v>
      </c>
      <c r="B24" s="34">
        <v>0.8</v>
      </c>
      <c r="C24" s="36" t="str">
        <f>IF(Коефіцієнти!$A$5&lt;3,'Територія ДС НТ'!A24,"")</f>
        <v>Житомирська обл., всі міста та р-ни крім м.Житомир, Житомирський р-н</v>
      </c>
    </row>
    <row r="25" spans="1:3">
      <c r="A25" s="33" t="s">
        <v>58</v>
      </c>
      <c r="B25" s="34">
        <v>0.85</v>
      </c>
      <c r="C25" s="36" t="str">
        <f>IF(Коефіцієнти!$A$5&lt;3,'Територія ДС НТ'!A25,"")</f>
        <v>Закарпатська обл., м.Ужгород, Ужгородський р-н</v>
      </c>
    </row>
    <row r="26" spans="1:3">
      <c r="A26" s="33" t="s">
        <v>59</v>
      </c>
      <c r="B26" s="34">
        <v>0.8</v>
      </c>
      <c r="C26" s="36" t="str">
        <f>IF(Коефіцієнти!$A$5&lt;3,'Територія ДС НТ'!A26,"")</f>
        <v>Закарпатська обл., всі міста та р-ни крім м.Ужгород, Ужгородський р-н</v>
      </c>
    </row>
    <row r="27" spans="1:3">
      <c r="A27" s="33" t="s">
        <v>60</v>
      </c>
      <c r="B27" s="34">
        <v>0.9</v>
      </c>
      <c r="C27" s="36" t="str">
        <f>IF(Коефіцієнти!$A$5&lt;3,'Територія ДС НТ'!A27,"")</f>
        <v>Запорізька обл., м.Запоріжжя, Запорізький р-н</v>
      </c>
    </row>
    <row r="28" spans="1:3">
      <c r="A28" s="33" t="s">
        <v>61</v>
      </c>
      <c r="B28" s="34">
        <v>0.85</v>
      </c>
      <c r="C28" s="36" t="str">
        <f>IF(Коефіцієнти!$A$5&lt;3,'Територія ДС НТ'!A28,"")</f>
        <v>Запорізька обл., м.Бердянськ, Бердянський р-н</v>
      </c>
    </row>
    <row r="29" spans="1:3">
      <c r="A29" s="33" t="s">
        <v>187</v>
      </c>
      <c r="B29" s="34">
        <v>0.85</v>
      </c>
      <c r="C29" s="36" t="str">
        <f>IF(Коефіцієнти!$A$5&lt;3,'Територія ДС НТ'!A29,"")</f>
        <v>Запорізька обл., м.Мелітополь, Мелітопольський р-н</v>
      </c>
    </row>
    <row r="30" spans="1:3">
      <c r="A30" s="33" t="s">
        <v>62</v>
      </c>
      <c r="B30" s="34">
        <v>0.8</v>
      </c>
      <c r="C30" s="36" t="str">
        <f>IF(Коефіцієнти!$A$5&lt;3,'Територія ДС НТ'!A30,"")</f>
        <v xml:space="preserve">Запорізька обл., всі міста та р-ни крім вказаних вище </v>
      </c>
    </row>
    <row r="31" spans="1:3">
      <c r="A31" s="33" t="s">
        <v>188</v>
      </c>
      <c r="B31" s="34">
        <v>0.85</v>
      </c>
      <c r="C31" s="36" t="str">
        <f>IF(Коефіцієнти!$A$5&lt;3,'Територія ДС НТ'!A31,"")</f>
        <v>Івано-Франківська обл., м.Івано-Франківськ, Івано-Франківськ</v>
      </c>
    </row>
    <row r="32" spans="1:3">
      <c r="A32" s="33" t="s">
        <v>185</v>
      </c>
      <c r="B32" s="34">
        <v>0.85</v>
      </c>
      <c r="C32" s="36" t="str">
        <f>IF(Коефіцієнти!$A$5&lt;3,'Територія ДС НТ'!A32,"")</f>
        <v>Івано-Франківська обл., м.Тисмениця, Тисменицький р-н</v>
      </c>
    </row>
    <row r="33" spans="1:3">
      <c r="A33" s="33" t="s">
        <v>63</v>
      </c>
      <c r="B33" s="34">
        <v>0.8</v>
      </c>
      <c r="C33" s="36" t="str">
        <f>IF(Коефіцієнти!$A$5&lt;3,'Територія ДС НТ'!A33,"")</f>
        <v xml:space="preserve">Івано-Франківська обл., всі міста та р-ни крім вказаних вище </v>
      </c>
    </row>
    <row r="34" spans="1:3">
      <c r="A34" s="33" t="s">
        <v>199</v>
      </c>
      <c r="B34" s="34">
        <v>1</v>
      </c>
      <c r="C34" s="36" t="str">
        <f>IF(Коефіцієнти!$A$5&lt;3,'Територія ДС НТ'!A34,"")</f>
        <v xml:space="preserve">Київська обл., м.Київ </v>
      </c>
    </row>
    <row r="35" spans="1:3">
      <c r="A35" s="33" t="s">
        <v>64</v>
      </c>
      <c r="B35" s="34">
        <v>0.9</v>
      </c>
      <c r="C35" s="36" t="str">
        <f>IF(Коефіцієнти!$A$5&lt;3,'Територія ДС НТ'!A35,"")</f>
        <v>Київська обл., м.Бориспіль, Бориспільський р-н</v>
      </c>
    </row>
    <row r="36" spans="1:3">
      <c r="A36" s="33" t="s">
        <v>65</v>
      </c>
      <c r="B36" s="34">
        <v>0.9</v>
      </c>
      <c r="C36" s="36" t="str">
        <f>IF(Коефіцієнти!$A$5&lt;3,'Територія ДС НТ'!A36,"")</f>
        <v>Київська обл., м.Васильків, Васильківський р-н</v>
      </c>
    </row>
    <row r="37" spans="1:3">
      <c r="A37" s="33" t="s">
        <v>66</v>
      </c>
      <c r="B37" s="34">
        <v>0.9</v>
      </c>
      <c r="C37" s="36" t="str">
        <f>IF(Коефіцієнти!$A$5&lt;3,'Територія ДС НТ'!A37,"")</f>
        <v>Київська обл., м.Вишгород, Вишгородський р-н</v>
      </c>
    </row>
    <row r="38" spans="1:3">
      <c r="A38" s="33" t="s">
        <v>67</v>
      </c>
      <c r="B38" s="34">
        <v>0.9</v>
      </c>
      <c r="C38" s="36" t="str">
        <f>IF(Коефіцієнти!$A$5&lt;3,'Територія ДС НТ'!A38,"")</f>
        <v>Київська обл., м.Бровари, Броварський р-н</v>
      </c>
    </row>
    <row r="39" spans="1:3">
      <c r="A39" s="33" t="s">
        <v>68</v>
      </c>
      <c r="B39" s="34">
        <v>0.9</v>
      </c>
      <c r="C39" s="36" t="str">
        <f>IF(Коефіцієнти!$A$5&lt;3,'Територія ДС НТ'!A39,"")</f>
        <v>Київська обл., м. Ірпінь, Ірпіньський р-н</v>
      </c>
    </row>
    <row r="40" spans="1:3">
      <c r="A40" s="33" t="s">
        <v>69</v>
      </c>
      <c r="B40" s="34">
        <v>0.9</v>
      </c>
      <c r="C40" s="36" t="str">
        <f>IF(Коефіцієнти!$A$5&lt;3,'Територія ДС НТ'!A40,"")</f>
        <v>Київська обл., м.Обухів, Обухівський р-н</v>
      </c>
    </row>
    <row r="41" spans="1:3">
      <c r="A41" s="33" t="s">
        <v>70</v>
      </c>
      <c r="B41" s="34">
        <v>0.85</v>
      </c>
      <c r="C41" s="36" t="str">
        <f>IF(Коефіцієнти!$A$5&lt;3,'Територія ДС НТ'!A41,"")</f>
        <v>Київська обл., всі міста та р-ни області крім вказаних вище</v>
      </c>
    </row>
    <row r="42" spans="1:3">
      <c r="A42" s="33" t="s">
        <v>71</v>
      </c>
      <c r="B42" s="34">
        <v>0.85</v>
      </c>
      <c r="C42" s="36" t="str">
        <f>IF(Коефіцієнти!$A$5&lt;3,'Територія ДС НТ'!A42,"")</f>
        <v>Кіровоградська обл., м.Кировоград, Кіровоградський р-н</v>
      </c>
    </row>
    <row r="43" spans="1:3">
      <c r="A43" s="33" t="s">
        <v>72</v>
      </c>
      <c r="B43" s="34">
        <v>0.8</v>
      </c>
      <c r="C43" s="36" t="str">
        <f>IF(Коефіцієнти!$A$5&lt;3,'Територія ДС НТ'!A43,"")</f>
        <v>Кіровоградська обл., всі міста та р-ни області крім м.Кировоград, Кіровоградський р-н</v>
      </c>
    </row>
    <row r="44" spans="1:3">
      <c r="A44" s="33" t="s">
        <v>73</v>
      </c>
      <c r="B44" s="34">
        <v>0.85</v>
      </c>
      <c r="C44" s="36" t="str">
        <f>IF(Коефіцієнти!$A$5&lt;3,'Територія ДС НТ'!A44,"")</f>
        <v>Луганська обл., м. Луганськ</v>
      </c>
    </row>
    <row r="45" spans="1:3">
      <c r="A45" s="33" t="s">
        <v>74</v>
      </c>
      <c r="B45" s="34">
        <v>0.85</v>
      </c>
      <c r="C45" s="36" t="str">
        <f>IF(Коефіцієнти!$A$5&lt;3,'Територія ДС НТ'!A45,"")</f>
        <v>Луганська обл., м.Лисичанськ,</v>
      </c>
    </row>
    <row r="46" spans="1:3">
      <c r="A46" s="33" t="s">
        <v>75</v>
      </c>
      <c r="B46" s="34">
        <v>0.85</v>
      </c>
      <c r="C46" s="36" t="str">
        <f>IF(Коефіцієнти!$A$5&lt;3,'Територія ДС НТ'!A46,"")</f>
        <v>Луганська обл., м.Станично-Луганське, Станично-Луганський р-н</v>
      </c>
    </row>
    <row r="47" spans="1:3">
      <c r="A47" s="33" t="s">
        <v>76</v>
      </c>
      <c r="B47" s="34">
        <v>0.85</v>
      </c>
      <c r="C47" s="36" t="str">
        <f>IF(Коефіцієнти!$A$5&lt;3,'Територія ДС НТ'!A47,"")</f>
        <v xml:space="preserve">Луганська обл., м. Сєверодонецьк </v>
      </c>
    </row>
    <row r="48" spans="1:3">
      <c r="A48" s="33" t="s">
        <v>77</v>
      </c>
      <c r="B48" s="35">
        <v>0.8</v>
      </c>
      <c r="C48" s="36" t="str">
        <f>IF(Коефіцієнти!$A$5&lt;3,'Територія ДС НТ'!A48,"")</f>
        <v>Луганська обл., всі міста та р-ни області крім вказаних вище</v>
      </c>
    </row>
    <row r="49" spans="1:3">
      <c r="A49" s="33" t="s">
        <v>78</v>
      </c>
      <c r="B49" s="34">
        <v>0.9</v>
      </c>
      <c r="C49" s="36" t="str">
        <f>IF(Коефіцієнти!$A$5&lt;3,'Територія ДС НТ'!A49,"")</f>
        <v>Львівська обл., м.Львів</v>
      </c>
    </row>
    <row r="50" spans="1:3">
      <c r="A50" s="33" t="s">
        <v>79</v>
      </c>
      <c r="B50" s="34">
        <v>0.9</v>
      </c>
      <c r="C50" s="36" t="str">
        <f>IF(Коефіцієнти!$A$5&lt;3,'Територія ДС НТ'!A50,"")</f>
        <v>Львівська обл., м. Пустомити, Пустомитівський р-н</v>
      </c>
    </row>
    <row r="51" spans="1:3">
      <c r="A51" s="33" t="s">
        <v>80</v>
      </c>
      <c r="B51" s="34">
        <v>0.8</v>
      </c>
      <c r="C51" s="36" t="str">
        <f>IF(Коефіцієнти!$A$5&lt;3,'Територія ДС НТ'!A51,"")</f>
        <v>Львівська обл., всі міста та р-ни крім вказаних вище</v>
      </c>
    </row>
    <row r="52" spans="1:3">
      <c r="A52" s="33" t="s">
        <v>81</v>
      </c>
      <c r="B52" s="34">
        <v>0.9</v>
      </c>
      <c r="C52" s="36" t="str">
        <f>IF(Коефіцієнти!$A$5&lt;3,'Територія ДС НТ'!A52,"")</f>
        <v>Миколаївська обл., м.Миколаїв, Миколаївський р-н</v>
      </c>
    </row>
    <row r="53" spans="1:3">
      <c r="A53" s="33" t="s">
        <v>82</v>
      </c>
      <c r="B53" s="34">
        <v>0.8</v>
      </c>
      <c r="C53" s="36" t="str">
        <f>IF(Коефіцієнти!$A$5&lt;3,'Територія ДС НТ'!A53,"")</f>
        <v>Миколаївська обл., всі міста та р-ни крім м.Миколаїв, Миколаївський р-н</v>
      </c>
    </row>
    <row r="54" spans="1:3">
      <c r="A54" s="33" t="s">
        <v>83</v>
      </c>
      <c r="B54" s="34">
        <v>0.9</v>
      </c>
      <c r="C54" s="36" t="str">
        <f>IF(Коефіцієнти!$A$5&lt;3,'Територія ДС НТ'!A54,"")</f>
        <v>Одеська обл., м. Одеса</v>
      </c>
    </row>
    <row r="55" spans="1:3">
      <c r="A55" s="33" t="s">
        <v>189</v>
      </c>
      <c r="B55" s="34">
        <v>0.9</v>
      </c>
      <c r="C55" s="36" t="str">
        <f>IF(Коефіцієнти!$A$5&lt;3,'Територія ДС НТ'!A55,"")</f>
        <v>Одеська обл., м.Овідіополь, Овідіопольський р-н</v>
      </c>
    </row>
    <row r="56" spans="1:3">
      <c r="A56" s="33" t="s">
        <v>84</v>
      </c>
      <c r="B56" s="34">
        <v>0.8</v>
      </c>
      <c r="C56" s="36" t="str">
        <f>IF(Коефіцієнти!$A$5&lt;3,'Територія ДС НТ'!A56,"")</f>
        <v>Одеська обл., всі міста та р-ни крім вказаних вище</v>
      </c>
    </row>
    <row r="57" spans="1:3">
      <c r="A57" s="33" t="s">
        <v>85</v>
      </c>
      <c r="B57" s="34">
        <v>0.85</v>
      </c>
      <c r="C57" s="36" t="str">
        <f>IF(Коефіцієнти!$A$5&lt;3,'Територія ДС НТ'!A57,"")</f>
        <v>Полтавська обл., м.Полтава, Полтавський р-н</v>
      </c>
    </row>
    <row r="58" spans="1:3">
      <c r="A58" s="33" t="s">
        <v>86</v>
      </c>
      <c r="B58" s="34">
        <v>0.85</v>
      </c>
      <c r="C58" s="36" t="str">
        <f>IF(Коефіцієнти!$A$5&lt;3,'Територія ДС НТ'!A58,"")</f>
        <v>Полтавська обл., м.Кременчуг, Кременчуцький р-н</v>
      </c>
    </row>
    <row r="59" spans="1:3">
      <c r="A59" s="33" t="s">
        <v>87</v>
      </c>
      <c r="B59" s="34">
        <v>0.8</v>
      </c>
      <c r="C59" s="36" t="str">
        <f>IF(Коефіцієнти!$A$5&lt;3,'Територія ДС НТ'!A59,"")</f>
        <v>Полтавська обл., всі міста та р-ни, крім вказаних вище</v>
      </c>
    </row>
    <row r="60" spans="1:3">
      <c r="A60" s="33" t="s">
        <v>190</v>
      </c>
      <c r="B60" s="34">
        <v>0.85</v>
      </c>
      <c r="C60" s="36" t="str">
        <f>IF(Коефіцієнти!$A$5&lt;3,'Територія ДС НТ'!A60,"")</f>
        <v>Рівненська обл., м.Рівне, Рівненський р-н</v>
      </c>
    </row>
    <row r="61" spans="1:3">
      <c r="A61" s="33" t="s">
        <v>191</v>
      </c>
      <c r="B61" s="34">
        <v>0.8</v>
      </c>
      <c r="C61" s="36" t="str">
        <f>IF(Коефіцієнти!$A$5&lt;3,'Територія ДС НТ'!A61,"")</f>
        <v>Рівненська обл., всі міста та р-ни крім м.Рівне, Рівненський р-н</v>
      </c>
    </row>
    <row r="62" spans="1:3">
      <c r="A62" s="33" t="s">
        <v>88</v>
      </c>
      <c r="B62" s="34">
        <v>0.85</v>
      </c>
      <c r="C62" s="36" t="str">
        <f>IF(Коефіцієнти!$A$5&lt;3,'Територія ДС НТ'!A62,"")</f>
        <v>Сумська обл., м.Суми, Сумський р-н</v>
      </c>
    </row>
    <row r="63" spans="1:3">
      <c r="A63" s="33" t="s">
        <v>89</v>
      </c>
      <c r="B63" s="34">
        <v>0.8</v>
      </c>
      <c r="C63" s="36" t="str">
        <f>IF(Коефіцієнти!$A$5&lt;3,'Територія ДС НТ'!A63,"")</f>
        <v>Сумська обл., всі міста та р-ни крім м.Суми, Сумський р-н</v>
      </c>
    </row>
    <row r="64" spans="1:3">
      <c r="A64" s="33" t="s">
        <v>90</v>
      </c>
      <c r="B64" s="34">
        <v>0.85</v>
      </c>
      <c r="C64" s="36" t="str">
        <f>IF(Коефіцієнти!$A$5&lt;3,'Територія ДС НТ'!A64,"")</f>
        <v>Тернопільська обл., м.Тернопіль, Тернопільський р-н</v>
      </c>
    </row>
    <row r="65" spans="1:3">
      <c r="A65" s="33" t="s">
        <v>200</v>
      </c>
      <c r="B65" s="34">
        <v>0.8</v>
      </c>
      <c r="C65" s="36" t="str">
        <f>IF(Коефіцієнти!$A$5&lt;3,'Територія ДС НТ'!A65,"")</f>
        <v>Тернопільська обл., всі міста та р-ни крім м.Тернопіль, Тернопільський р-н</v>
      </c>
    </row>
    <row r="66" spans="1:3">
      <c r="A66" s="33" t="s">
        <v>192</v>
      </c>
      <c r="B66" s="34">
        <v>0.9</v>
      </c>
      <c r="C66" s="36" t="str">
        <f>IF(Коефіцієнти!$A$5&lt;3,'Територія ДС НТ'!A66,"")</f>
        <v>Харківська обл., м.Харків, Харківський р-н</v>
      </c>
    </row>
    <row r="67" spans="1:3">
      <c r="A67" s="33" t="s">
        <v>193</v>
      </c>
      <c r="B67" s="34">
        <v>0.9</v>
      </c>
      <c r="C67" s="36" t="str">
        <f>IF(Коефіцієнти!$A$5&lt;3,'Територія ДС НТ'!A67,"")</f>
        <v>Харківська обл., м.Дергачів, Дергачівський р-н</v>
      </c>
    </row>
    <row r="68" spans="1:3">
      <c r="A68" s="33" t="s">
        <v>91</v>
      </c>
      <c r="B68" s="34">
        <v>0.8</v>
      </c>
      <c r="C68" s="36" t="str">
        <f>IF(Коефіцієнти!$A$5&lt;3,'Територія ДС НТ'!A68,"")</f>
        <v>Харківська обл., всі міста та р-ни крім вказаних вище</v>
      </c>
    </row>
    <row r="69" spans="1:3">
      <c r="A69" s="33" t="s">
        <v>92</v>
      </c>
      <c r="B69" s="34">
        <v>0.85</v>
      </c>
      <c r="C69" s="36" t="str">
        <f>IF(Коефіцієнти!$A$5&lt;3,'Територія ДС НТ'!A69,"")</f>
        <v>Херсонська обл., м. Херсон</v>
      </c>
    </row>
    <row r="70" spans="1:3">
      <c r="A70" s="33" t="s">
        <v>93</v>
      </c>
      <c r="B70" s="34">
        <v>0.85</v>
      </c>
      <c r="C70" s="36" t="str">
        <f>IF(Коефіцієнти!$A$5&lt;3,'Територія ДС НТ'!A70,"")</f>
        <v>Херсонська обл., м.Білозерка, Білозерський р-н</v>
      </c>
    </row>
    <row r="71" spans="1:3">
      <c r="A71" s="33" t="s">
        <v>94</v>
      </c>
      <c r="B71" s="34">
        <v>0.8</v>
      </c>
      <c r="C71" s="36" t="str">
        <f>IF(Коефіцієнти!$A$5&lt;3,'Територія ДС НТ'!A71,"")</f>
        <v>Херсонська обл., всі міста та р-ни крім вказаних вище</v>
      </c>
    </row>
    <row r="72" spans="1:3">
      <c r="A72" s="33" t="s">
        <v>96</v>
      </c>
      <c r="B72" s="34">
        <v>0.85</v>
      </c>
      <c r="C72" s="36" t="str">
        <f>IF(Коефіцієнти!$A$5&lt;3,'Територія ДС НТ'!A72,"")</f>
        <v>Хмельницька обл., м.Хмельницький, Хмельницький р-н</v>
      </c>
    </row>
    <row r="73" spans="1:3">
      <c r="A73" s="33" t="s">
        <v>99</v>
      </c>
      <c r="B73" s="34">
        <v>0.8</v>
      </c>
      <c r="C73" s="36" t="str">
        <f>IF(Коефіцієнти!$A$5&lt;3,'Територія ДС НТ'!A73,"")</f>
        <v>Хмельницька обл., всі міста та р-ни області крім м.Хмельницький, Хмельницький р-н</v>
      </c>
    </row>
    <row r="74" spans="1:3">
      <c r="A74" s="33" t="s">
        <v>97</v>
      </c>
      <c r="B74" s="34">
        <v>0.85</v>
      </c>
      <c r="C74" s="36" t="str">
        <f>IF(Коефіцієнти!$A$5&lt;3,'Територія ДС НТ'!A74,"")</f>
        <v>Черкаська обл., м.Черкаси, Черкаський р-н</v>
      </c>
    </row>
    <row r="75" spans="1:3">
      <c r="A75" s="33" t="s">
        <v>98</v>
      </c>
      <c r="B75" s="34">
        <v>0.8</v>
      </c>
      <c r="C75" s="36" t="str">
        <f>IF(Коефіцієнти!$A$5&lt;3,'Територія ДС НТ'!A75,"")</f>
        <v>Черкаська обл., всі міста та р-ни крім м.Черкаси, Черкаський р-н</v>
      </c>
    </row>
    <row r="76" spans="1:3">
      <c r="A76" s="33" t="s">
        <v>101</v>
      </c>
      <c r="B76" s="34">
        <v>0.85</v>
      </c>
      <c r="C76" s="36" t="str">
        <f>IF(Коефіцієнти!$A$5&lt;3,'Територія ДС НТ'!A76,"")</f>
        <v>Чернівецька обл., м.Чернівці</v>
      </c>
    </row>
    <row r="77" spans="1:3">
      <c r="A77" s="33" t="s">
        <v>95</v>
      </c>
      <c r="B77" s="34">
        <v>0.8</v>
      </c>
      <c r="C77" s="36" t="str">
        <f>IF(Коефіцієнти!$A$5&lt;3,'Територія ДС НТ'!A77,"")</f>
        <v>Чернівецька обл., всі міста та р-ни крім м.Чернівці</v>
      </c>
    </row>
    <row r="78" spans="1:3">
      <c r="A78" s="33" t="s">
        <v>100</v>
      </c>
      <c r="B78" s="34">
        <v>0.85</v>
      </c>
      <c r="C78" s="36" t="str">
        <f>IF(Коефіцієнти!$A$5&lt;3,'Територія ДС НТ'!A78,"")</f>
        <v>Чернігівська обл., м.Чернігів, Чернігівський р-н</v>
      </c>
    </row>
    <row r="79" spans="1:3">
      <c r="A79" s="33" t="s">
        <v>102</v>
      </c>
      <c r="B79" s="34">
        <v>0.8</v>
      </c>
      <c r="C79" s="36" t="str">
        <f>IF(Коефіцієнти!$A$5&lt;3,'Територія ДС НТ'!A79,"")</f>
        <v>Чернігівська обл., всі міста та р-ни крім м.Чернігів, Чернігівський р-н</v>
      </c>
    </row>
  </sheetData>
  <sheetProtection selectLockedCells="1" selectUnlockedCells="1"/>
  <pageMargins left="0.70866141732283472" right="0.70866141732283472" top="0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AC143"/>
  <sheetViews>
    <sheetView tabSelected="1" view="pageBreakPreview" zoomScale="150" zoomScaleNormal="160" zoomScaleSheetLayoutView="150" workbookViewId="0">
      <selection activeCell="A3" sqref="A3:P4"/>
    </sheetView>
  </sheetViews>
  <sheetFormatPr defaultRowHeight="12.75"/>
  <cols>
    <col min="1" max="29" width="3.140625" style="201" customWidth="1"/>
  </cols>
  <sheetData>
    <row r="1" spans="1:29" ht="9" customHeight="1">
      <c r="A1" s="406" t="s">
        <v>377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</row>
    <row r="2" spans="1:29" ht="9" customHeight="1">
      <c r="A2" s="406" t="s">
        <v>379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ht="9" customHeight="1">
      <c r="A3" s="406" t="s">
        <v>313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7" t="s">
        <v>273</v>
      </c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</row>
    <row r="4" spans="1:29" ht="9" customHeight="1">
      <c r="A4" s="412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8" t="s">
        <v>378</v>
      </c>
      <c r="R4" s="409"/>
      <c r="S4" s="409"/>
      <c r="T4" s="282"/>
      <c r="U4" s="282"/>
      <c r="V4" s="282"/>
      <c r="W4" s="410"/>
      <c r="X4" s="410"/>
      <c r="Y4" s="410"/>
      <c r="Z4" s="410"/>
      <c r="AA4" s="411"/>
      <c r="AB4" s="411"/>
      <c r="AC4" s="411"/>
    </row>
    <row r="5" spans="1:29" ht="11.25" customHeight="1">
      <c r="A5" s="392" t="s">
        <v>376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</row>
    <row r="6" spans="1:29" ht="11.25" customHeight="1">
      <c r="A6" s="393" t="s">
        <v>358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  <c r="AA6" s="393"/>
      <c r="AB6" s="393"/>
      <c r="AC6" s="393"/>
    </row>
    <row r="7" spans="1:29" ht="11.25" customHeight="1">
      <c r="A7" s="393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  <c r="AA7" s="393"/>
      <c r="AB7" s="393"/>
      <c r="AC7" s="393"/>
    </row>
    <row r="8" spans="1:29" ht="9" customHeight="1">
      <c r="A8" s="394" t="s">
        <v>274</v>
      </c>
      <c r="B8" s="394"/>
      <c r="C8" s="394"/>
      <c r="D8" s="394"/>
      <c r="E8" s="394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395" t="s">
        <v>275</v>
      </c>
      <c r="X8" s="395"/>
      <c r="Y8" s="395"/>
      <c r="Z8" s="395"/>
      <c r="AA8" s="395"/>
      <c r="AB8" s="395"/>
      <c r="AC8" s="395"/>
    </row>
    <row r="9" spans="1:29" ht="9" customHeight="1">
      <c r="A9" s="393" t="s">
        <v>276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</row>
    <row r="10" spans="1:29" ht="19.5" customHeight="1">
      <c r="A10" s="397" t="s">
        <v>277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</row>
    <row r="11" spans="1:29" ht="10.5" customHeight="1">
      <c r="A11" s="399" t="s">
        <v>278</v>
      </c>
      <c r="B11" s="400"/>
      <c r="C11" s="400"/>
      <c r="D11" s="400"/>
      <c r="E11" s="400"/>
      <c r="F11" s="400"/>
      <c r="G11" s="400"/>
      <c r="H11" s="401"/>
      <c r="I11" s="402" t="s">
        <v>354</v>
      </c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4"/>
      <c r="Y11" s="313" t="s">
        <v>279</v>
      </c>
      <c r="Z11" s="314"/>
      <c r="AA11" s="314"/>
      <c r="AB11" s="314"/>
      <c r="AC11" s="371"/>
    </row>
    <row r="12" spans="1:29" ht="10.5" customHeight="1">
      <c r="A12" s="413" t="s">
        <v>280</v>
      </c>
      <c r="B12" s="414"/>
      <c r="C12" s="414"/>
      <c r="D12" s="414"/>
      <c r="E12" s="414"/>
      <c r="F12" s="414"/>
      <c r="G12" s="414"/>
      <c r="H12" s="415"/>
      <c r="I12" s="402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4"/>
      <c r="Y12" s="433" t="s">
        <v>281</v>
      </c>
      <c r="Z12" s="434"/>
      <c r="AA12" s="434"/>
      <c r="AB12" s="434"/>
      <c r="AC12" s="435"/>
    </row>
    <row r="13" spans="1:29" ht="10.5" customHeight="1">
      <c r="A13" s="416"/>
      <c r="B13" s="417"/>
      <c r="C13" s="417"/>
      <c r="D13" s="417"/>
      <c r="E13" s="417"/>
      <c r="F13" s="417"/>
      <c r="G13" s="417"/>
      <c r="H13" s="418"/>
      <c r="I13" s="402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36" t="s">
        <v>354</v>
      </c>
      <c r="Z13" s="436"/>
      <c r="AA13" s="436"/>
      <c r="AB13" s="436"/>
      <c r="AC13" s="436"/>
    </row>
    <row r="14" spans="1:29" ht="10.5" customHeight="1">
      <c r="A14" s="419" t="s">
        <v>282</v>
      </c>
      <c r="B14" s="419"/>
      <c r="C14" s="419"/>
      <c r="D14" s="419"/>
      <c r="E14" s="419"/>
      <c r="F14" s="419"/>
      <c r="G14" s="419"/>
      <c r="H14" s="419"/>
      <c r="I14" s="420" t="s">
        <v>354</v>
      </c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310" t="s">
        <v>202</v>
      </c>
      <c r="U14" s="310"/>
      <c r="V14" s="310"/>
      <c r="W14" s="310"/>
      <c r="X14" s="310"/>
      <c r="Y14" s="310"/>
      <c r="Z14" s="310"/>
      <c r="AA14" s="310"/>
      <c r="AB14" s="310"/>
      <c r="AC14" s="310"/>
    </row>
    <row r="15" spans="1:29" ht="10.5" customHeight="1">
      <c r="A15" s="308"/>
      <c r="B15" s="308"/>
      <c r="C15" s="308"/>
      <c r="D15" s="308"/>
      <c r="E15" s="308"/>
      <c r="F15" s="308"/>
      <c r="G15" s="308"/>
      <c r="H15" s="308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273" t="s">
        <v>354</v>
      </c>
      <c r="U15" s="273" t="s">
        <v>354</v>
      </c>
      <c r="V15" s="273" t="s">
        <v>354</v>
      </c>
      <c r="W15" s="273" t="s">
        <v>354</v>
      </c>
      <c r="X15" s="273" t="s">
        <v>354</v>
      </c>
      <c r="Y15" s="273" t="s">
        <v>354</v>
      </c>
      <c r="Z15" s="273" t="s">
        <v>354</v>
      </c>
      <c r="AA15" s="273" t="s">
        <v>354</v>
      </c>
      <c r="AB15" s="273" t="s">
        <v>354</v>
      </c>
      <c r="AC15" s="273" t="s">
        <v>354</v>
      </c>
    </row>
    <row r="16" spans="1:29" ht="11.25" customHeight="1">
      <c r="A16" s="437" t="s">
        <v>283</v>
      </c>
      <c r="B16" s="437"/>
      <c r="C16" s="437"/>
      <c r="D16" s="437"/>
      <c r="E16" s="437"/>
      <c r="F16" s="437"/>
      <c r="G16" s="437"/>
      <c r="H16" s="437"/>
      <c r="I16" s="420" t="s">
        <v>354</v>
      </c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</row>
    <row r="17" spans="1:29" s="248" customFormat="1" ht="4.5" customHeight="1">
      <c r="A17" s="281"/>
      <c r="B17" s="281"/>
      <c r="C17" s="281"/>
      <c r="D17" s="281"/>
      <c r="E17" s="281"/>
      <c r="F17" s="281"/>
      <c r="G17" s="281"/>
      <c r="H17" s="281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</row>
    <row r="18" spans="1:29" s="248" customFormat="1" ht="11.25" customHeight="1">
      <c r="A18" s="399" t="s">
        <v>373</v>
      </c>
      <c r="B18" s="400"/>
      <c r="C18" s="400"/>
      <c r="D18" s="400"/>
      <c r="E18" s="400"/>
      <c r="F18" s="400"/>
      <c r="G18" s="400"/>
      <c r="H18" s="401"/>
      <c r="I18" s="421" t="s">
        <v>354</v>
      </c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3"/>
      <c r="Z18" s="423"/>
      <c r="AA18" s="423"/>
      <c r="AB18" s="423"/>
      <c r="AC18" s="424"/>
    </row>
    <row r="19" spans="1:29" s="248" customFormat="1" ht="11.25" customHeight="1">
      <c r="A19" s="413" t="s">
        <v>374</v>
      </c>
      <c r="B19" s="414"/>
      <c r="C19" s="414"/>
      <c r="D19" s="414"/>
      <c r="E19" s="414"/>
      <c r="F19" s="414"/>
      <c r="G19" s="414"/>
      <c r="H19" s="415"/>
      <c r="I19" s="425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7"/>
      <c r="Z19" s="427"/>
      <c r="AA19" s="427"/>
      <c r="AB19" s="427"/>
      <c r="AC19" s="428"/>
    </row>
    <row r="20" spans="1:29" s="248" customFormat="1" ht="5.25" customHeight="1">
      <c r="A20" s="416"/>
      <c r="B20" s="417"/>
      <c r="C20" s="417"/>
      <c r="D20" s="417"/>
      <c r="E20" s="417"/>
      <c r="F20" s="417"/>
      <c r="G20" s="417"/>
      <c r="H20" s="418"/>
      <c r="I20" s="429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1"/>
      <c r="Z20" s="431"/>
      <c r="AA20" s="431"/>
      <c r="AB20" s="431"/>
      <c r="AC20" s="432"/>
    </row>
    <row r="21" spans="1:29" s="248" customFormat="1" ht="11.25" customHeight="1">
      <c r="A21" s="419" t="s">
        <v>375</v>
      </c>
      <c r="B21" s="419"/>
      <c r="C21" s="419"/>
      <c r="D21" s="419"/>
      <c r="E21" s="419"/>
      <c r="F21" s="419"/>
      <c r="G21" s="419"/>
      <c r="H21" s="419"/>
      <c r="I21" s="420" t="s">
        <v>354</v>
      </c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310" t="s">
        <v>202</v>
      </c>
      <c r="U21" s="310"/>
      <c r="V21" s="310"/>
      <c r="W21" s="310"/>
      <c r="X21" s="310"/>
      <c r="Y21" s="310"/>
      <c r="Z21" s="310"/>
      <c r="AA21" s="310"/>
      <c r="AB21" s="310"/>
      <c r="AC21" s="310"/>
    </row>
    <row r="22" spans="1:29" s="248" customFormat="1" ht="11.25" customHeight="1">
      <c r="A22" s="308"/>
      <c r="B22" s="308"/>
      <c r="C22" s="308"/>
      <c r="D22" s="308"/>
      <c r="E22" s="308"/>
      <c r="F22" s="308"/>
      <c r="G22" s="308"/>
      <c r="H22" s="308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273" t="s">
        <v>354</v>
      </c>
      <c r="U22" s="273" t="s">
        <v>354</v>
      </c>
      <c r="V22" s="273" t="s">
        <v>354</v>
      </c>
      <c r="W22" s="273" t="s">
        <v>354</v>
      </c>
      <c r="X22" s="273" t="s">
        <v>354</v>
      </c>
      <c r="Y22" s="273" t="s">
        <v>354</v>
      </c>
      <c r="Z22" s="273" t="s">
        <v>354</v>
      </c>
      <c r="AA22" s="273" t="s">
        <v>354</v>
      </c>
      <c r="AB22" s="273" t="s">
        <v>354</v>
      </c>
      <c r="AC22" s="273" t="s">
        <v>354</v>
      </c>
    </row>
    <row r="23" spans="1:29" ht="37.5" customHeight="1">
      <c r="A23" s="391" t="s">
        <v>357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</row>
    <row r="24" spans="1:29" ht="10.5" customHeight="1">
      <c r="A24" s="384" t="s">
        <v>284</v>
      </c>
      <c r="B24" s="384"/>
      <c r="C24" s="384"/>
      <c r="D24" s="384"/>
      <c r="E24" s="384"/>
      <c r="F24" s="384"/>
      <c r="G24" s="384"/>
      <c r="H24" s="343" t="s">
        <v>203</v>
      </c>
      <c r="I24" s="344"/>
      <c r="J24" s="344"/>
      <c r="K24" s="344"/>
      <c r="L24" s="344"/>
      <c r="M24" s="344"/>
      <c r="N24" s="344"/>
      <c r="O24" s="344"/>
      <c r="P24" s="348"/>
      <c r="Q24" s="310" t="s">
        <v>285</v>
      </c>
      <c r="R24" s="310"/>
      <c r="S24" s="310"/>
      <c r="T24" s="310"/>
      <c r="U24" s="310"/>
      <c r="V24" s="310"/>
      <c r="W24" s="310" t="s">
        <v>205</v>
      </c>
      <c r="X24" s="310"/>
      <c r="Y24" s="310"/>
      <c r="Z24" s="310"/>
      <c r="AA24" s="310" t="s">
        <v>204</v>
      </c>
      <c r="AB24" s="310"/>
      <c r="AC24" s="310"/>
    </row>
    <row r="25" spans="1:29" ht="10.5" customHeight="1">
      <c r="A25" s="384"/>
      <c r="B25" s="384"/>
      <c r="C25" s="384"/>
      <c r="D25" s="384"/>
      <c r="E25" s="384"/>
      <c r="F25" s="384"/>
      <c r="G25" s="384"/>
      <c r="H25" s="343" t="s">
        <v>354</v>
      </c>
      <c r="I25" s="344"/>
      <c r="J25" s="344"/>
      <c r="K25" s="344"/>
      <c r="L25" s="344"/>
      <c r="M25" s="344"/>
      <c r="N25" s="344"/>
      <c r="O25" s="344"/>
      <c r="P25" s="348"/>
      <c r="Q25" s="310" t="s">
        <v>354</v>
      </c>
      <c r="R25" s="310"/>
      <c r="S25" s="310"/>
      <c r="T25" s="310"/>
      <c r="U25" s="310"/>
      <c r="V25" s="310"/>
      <c r="W25" s="396"/>
      <c r="X25" s="396"/>
      <c r="Y25" s="396"/>
      <c r="Z25" s="396"/>
      <c r="AA25" s="327" t="s">
        <v>354</v>
      </c>
      <c r="AB25" s="327"/>
      <c r="AC25" s="327"/>
    </row>
    <row r="26" spans="1:29" ht="10.5" customHeight="1">
      <c r="A26" s="384"/>
      <c r="B26" s="384"/>
      <c r="C26" s="384"/>
      <c r="D26" s="384"/>
      <c r="E26" s="384"/>
      <c r="F26" s="384"/>
      <c r="G26" s="384"/>
      <c r="H26" s="343" t="s">
        <v>206</v>
      </c>
      <c r="I26" s="344"/>
      <c r="J26" s="344"/>
      <c r="K26" s="344"/>
      <c r="L26" s="348"/>
      <c r="M26" s="274" t="s">
        <v>354</v>
      </c>
      <c r="N26" s="274" t="s">
        <v>354</v>
      </c>
      <c r="O26" s="274" t="s">
        <v>354</v>
      </c>
      <c r="P26" s="274" t="s">
        <v>354</v>
      </c>
      <c r="Q26" s="274" t="s">
        <v>354</v>
      </c>
      <c r="R26" s="274" t="s">
        <v>354</v>
      </c>
      <c r="S26" s="274" t="s">
        <v>354</v>
      </c>
      <c r="T26" s="274" t="s">
        <v>354</v>
      </c>
      <c r="U26" s="274" t="s">
        <v>354</v>
      </c>
      <c r="V26" s="274" t="s">
        <v>354</v>
      </c>
      <c r="W26" s="274" t="s">
        <v>354</v>
      </c>
      <c r="X26" s="274" t="s">
        <v>354</v>
      </c>
      <c r="Y26" s="274" t="s">
        <v>354</v>
      </c>
      <c r="Z26" s="274" t="s">
        <v>354</v>
      </c>
      <c r="AA26" s="274" t="s">
        <v>354</v>
      </c>
      <c r="AB26" s="274" t="s">
        <v>354</v>
      </c>
      <c r="AC26" s="274" t="s">
        <v>354</v>
      </c>
    </row>
    <row r="27" spans="1:29" ht="10.5" customHeight="1">
      <c r="A27" s="308" t="s">
        <v>260</v>
      </c>
      <c r="B27" s="308"/>
      <c r="C27" s="308"/>
      <c r="D27" s="308"/>
      <c r="E27" s="308"/>
      <c r="F27" s="308"/>
      <c r="G27" s="308"/>
      <c r="H27" s="343" t="s">
        <v>259</v>
      </c>
      <c r="I27" s="344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78"/>
    </row>
    <row r="28" spans="1:29" ht="10.5" customHeight="1">
      <c r="A28" s="384" t="s">
        <v>286</v>
      </c>
      <c r="B28" s="384"/>
      <c r="C28" s="384"/>
      <c r="D28" s="384"/>
      <c r="E28" s="384"/>
      <c r="F28" s="384"/>
      <c r="G28" s="384"/>
      <c r="H28" s="310" t="s">
        <v>354</v>
      </c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</row>
    <row r="29" spans="1:29" ht="10.5" customHeight="1">
      <c r="A29" s="384"/>
      <c r="B29" s="384"/>
      <c r="C29" s="384"/>
      <c r="D29" s="384"/>
      <c r="E29" s="384"/>
      <c r="F29" s="384"/>
      <c r="G29" s="384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</row>
    <row r="30" spans="1:29" ht="12.75" customHeight="1">
      <c r="A30" s="385" t="s">
        <v>287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</row>
    <row r="31" spans="1:29" ht="10.5" customHeight="1">
      <c r="A31" s="386" t="s">
        <v>359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</row>
    <row r="32" spans="1:29" ht="10.5" customHeight="1">
      <c r="A32" s="387" t="s">
        <v>288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8" t="s">
        <v>289</v>
      </c>
      <c r="L32" s="388"/>
      <c r="M32" s="308" t="s">
        <v>290</v>
      </c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88" t="s">
        <v>289</v>
      </c>
      <c r="AC32" s="388"/>
    </row>
    <row r="33" spans="1:29" s="217" customFormat="1" ht="10.5" customHeight="1">
      <c r="A33" s="364" t="s">
        <v>291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10" t="s">
        <v>31</v>
      </c>
      <c r="L33" s="310"/>
      <c r="M33" s="379" t="s">
        <v>355</v>
      </c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380"/>
      <c r="Y33" s="380"/>
      <c r="Z33" s="380"/>
      <c r="AA33" s="381"/>
      <c r="AB33" s="389" t="s">
        <v>31</v>
      </c>
      <c r="AC33" s="390"/>
    </row>
    <row r="34" spans="1:29" ht="10.5" customHeight="1">
      <c r="A34" s="364" t="s">
        <v>153</v>
      </c>
      <c r="B34" s="364"/>
      <c r="C34" s="364"/>
      <c r="D34" s="364"/>
      <c r="E34" s="364"/>
      <c r="F34" s="364"/>
      <c r="G34" s="364"/>
      <c r="H34" s="364"/>
      <c r="I34" s="364"/>
      <c r="J34" s="364"/>
      <c r="K34" s="310" t="s">
        <v>31</v>
      </c>
      <c r="L34" s="310"/>
      <c r="M34" s="384" t="s">
        <v>351</v>
      </c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10"/>
      <c r="AC34" s="310"/>
    </row>
    <row r="35" spans="1:29" ht="10.5" customHeight="1">
      <c r="A35" s="364" t="s">
        <v>208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10" t="s">
        <v>31</v>
      </c>
      <c r="L35" s="310"/>
      <c r="M35" s="384" t="s">
        <v>352</v>
      </c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10"/>
      <c r="AC35" s="310"/>
    </row>
    <row r="36" spans="1:29" ht="10.5" customHeight="1">
      <c r="A36" s="364" t="s">
        <v>155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10" t="s">
        <v>31</v>
      </c>
      <c r="L36" s="310"/>
      <c r="M36" s="384" t="s">
        <v>353</v>
      </c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10"/>
      <c r="AC36" s="310"/>
    </row>
    <row r="37" spans="1:29" ht="10.5" customHeight="1">
      <c r="A37" s="364" t="s">
        <v>156</v>
      </c>
      <c r="B37" s="364"/>
      <c r="C37" s="364"/>
      <c r="D37" s="364"/>
      <c r="E37" s="364"/>
      <c r="F37" s="364"/>
      <c r="G37" s="364"/>
      <c r="H37" s="364"/>
      <c r="I37" s="364"/>
      <c r="J37" s="364"/>
      <c r="K37" s="310" t="s">
        <v>31</v>
      </c>
      <c r="L37" s="310"/>
      <c r="M37" s="365" t="s">
        <v>292</v>
      </c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7"/>
      <c r="AB37" s="313"/>
      <c r="AC37" s="371"/>
    </row>
    <row r="38" spans="1:29" ht="10.5" customHeight="1">
      <c r="A38" s="364" t="s">
        <v>209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10" t="s">
        <v>31</v>
      </c>
      <c r="L38" s="310"/>
      <c r="M38" s="368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70"/>
      <c r="AB38" s="349"/>
      <c r="AC38" s="372"/>
    </row>
    <row r="39" spans="1:29" s="217" customFormat="1" ht="10.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379" t="s">
        <v>360</v>
      </c>
      <c r="N39" s="380"/>
      <c r="O39" s="380"/>
      <c r="P39" s="380"/>
      <c r="Q39" s="380"/>
      <c r="R39" s="380"/>
      <c r="S39" s="380"/>
      <c r="T39" s="380"/>
      <c r="U39" s="380"/>
      <c r="V39" s="381"/>
      <c r="W39" s="324"/>
      <c r="X39" s="382"/>
      <c r="Y39" s="382"/>
      <c r="Z39" s="382"/>
      <c r="AA39" s="382"/>
      <c r="AB39" s="382"/>
      <c r="AC39" s="383"/>
    </row>
    <row r="40" spans="1:29" s="217" customFormat="1" ht="21" customHeight="1">
      <c r="A40" s="275"/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379" t="s">
        <v>361</v>
      </c>
      <c r="N40" s="380"/>
      <c r="O40" s="380"/>
      <c r="P40" s="380"/>
      <c r="Q40" s="380"/>
      <c r="R40" s="380"/>
      <c r="S40" s="380"/>
      <c r="T40" s="380"/>
      <c r="U40" s="380"/>
      <c r="V40" s="381"/>
      <c r="W40" s="324"/>
      <c r="X40" s="382"/>
      <c r="Y40" s="382"/>
      <c r="Z40" s="382"/>
      <c r="AA40" s="382"/>
      <c r="AB40" s="382"/>
      <c r="AC40" s="383"/>
    </row>
    <row r="41" spans="1:29" s="217" customFormat="1" ht="21" customHeight="1">
      <c r="A41" s="275"/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379" t="s">
        <v>362</v>
      </c>
      <c r="N41" s="380"/>
      <c r="O41" s="380"/>
      <c r="P41" s="380"/>
      <c r="Q41" s="380"/>
      <c r="R41" s="380"/>
      <c r="S41" s="380"/>
      <c r="T41" s="380"/>
      <c r="U41" s="380"/>
      <c r="V41" s="381"/>
      <c r="W41" s="324"/>
      <c r="X41" s="382"/>
      <c r="Y41" s="382"/>
      <c r="Z41" s="382"/>
      <c r="AA41" s="382"/>
      <c r="AB41" s="382"/>
      <c r="AC41" s="383"/>
    </row>
    <row r="42" spans="1:29" ht="10.5" customHeight="1">
      <c r="A42" s="308" t="s">
        <v>293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 t="s">
        <v>294</v>
      </c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</row>
    <row r="43" spans="1:29" ht="10.5" customHeight="1">
      <c r="A43" s="308" t="s">
        <v>295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75" t="s">
        <v>324</v>
      </c>
      <c r="S43" s="376"/>
      <c r="T43" s="376"/>
      <c r="U43" s="376"/>
      <c r="V43" s="376"/>
      <c r="W43" s="376"/>
      <c r="X43" s="377"/>
      <c r="Y43" s="345"/>
      <c r="Z43" s="345"/>
      <c r="AA43" s="345"/>
      <c r="AB43" s="345"/>
      <c r="AC43" s="378"/>
    </row>
    <row r="44" spans="1:29" ht="10.5" customHeight="1">
      <c r="A44" s="327" t="s">
        <v>210</v>
      </c>
      <c r="B44" s="327"/>
      <c r="C44" s="327"/>
      <c r="D44" s="327"/>
      <c r="E44" s="327"/>
      <c r="F44" s="327" t="s">
        <v>211</v>
      </c>
      <c r="G44" s="327"/>
      <c r="H44" s="327"/>
      <c r="I44" s="327"/>
      <c r="J44" s="327"/>
      <c r="K44" s="327" t="s">
        <v>296</v>
      </c>
      <c r="L44" s="327"/>
      <c r="M44" s="327"/>
      <c r="N44" s="327"/>
      <c r="O44" s="327"/>
      <c r="P44" s="327"/>
      <c r="Q44" s="327"/>
      <c r="R44" s="375" t="s">
        <v>325</v>
      </c>
      <c r="S44" s="376"/>
      <c r="T44" s="376"/>
      <c r="U44" s="376"/>
      <c r="V44" s="376"/>
      <c r="W44" s="376"/>
      <c r="X44" s="377"/>
      <c r="Y44" s="345"/>
      <c r="Z44" s="345"/>
      <c r="AA44" s="345"/>
      <c r="AB44" s="345"/>
      <c r="AC44" s="378"/>
    </row>
    <row r="45" spans="1:29" ht="10.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4"/>
      <c r="R45" s="249"/>
      <c r="S45" s="250"/>
      <c r="T45" s="250"/>
      <c r="U45" s="251"/>
      <c r="V45" s="251"/>
      <c r="W45" s="251"/>
      <c r="X45" s="251"/>
      <c r="Y45" s="251"/>
      <c r="Z45" s="251"/>
      <c r="AA45" s="251"/>
      <c r="AB45" s="251"/>
      <c r="AC45" s="252"/>
    </row>
    <row r="46" spans="1:29" ht="10.5" customHeight="1">
      <c r="A46" s="308" t="s">
        <v>297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33">
        <v>0</v>
      </c>
      <c r="Q46" s="334"/>
      <c r="R46" s="253"/>
      <c r="S46" s="254"/>
      <c r="T46" s="254"/>
      <c r="U46" s="255"/>
      <c r="V46" s="255"/>
      <c r="W46" s="255"/>
      <c r="X46" s="255"/>
      <c r="Y46" s="255"/>
      <c r="Z46" s="255"/>
      <c r="AA46" s="255"/>
      <c r="AB46" s="255"/>
      <c r="AC46" s="256"/>
    </row>
    <row r="47" spans="1:29" ht="10.5" customHeight="1">
      <c r="A47" s="343" t="s">
        <v>298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8"/>
      <c r="R47" s="349" t="s">
        <v>299</v>
      </c>
      <c r="S47" s="350"/>
      <c r="T47" s="350"/>
      <c r="U47" s="350"/>
      <c r="V47" s="350"/>
      <c r="W47" s="351"/>
      <c r="X47" s="352" t="s">
        <v>300</v>
      </c>
      <c r="Y47" s="353"/>
      <c r="Z47" s="353"/>
      <c r="AA47" s="353"/>
      <c r="AB47" s="353"/>
      <c r="AC47" s="354"/>
    </row>
    <row r="48" spans="1:29" ht="18.75" customHeight="1">
      <c r="A48" s="324" t="s">
        <v>301</v>
      </c>
      <c r="B48" s="335"/>
      <c r="C48" s="336"/>
      <c r="D48" s="339"/>
      <c r="E48" s="339"/>
      <c r="F48" s="340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2"/>
      <c r="R48" s="355"/>
      <c r="S48" s="356"/>
      <c r="T48" s="356"/>
      <c r="U48" s="356"/>
      <c r="V48" s="356"/>
      <c r="W48" s="357"/>
      <c r="X48" s="336"/>
      <c r="Y48" s="337"/>
      <c r="Z48" s="337"/>
      <c r="AA48" s="337"/>
      <c r="AB48" s="337"/>
      <c r="AC48" s="338"/>
    </row>
    <row r="49" spans="1:29" ht="18.75" customHeight="1">
      <c r="A49" s="324" t="s">
        <v>302</v>
      </c>
      <c r="B49" s="335"/>
      <c r="C49" s="336"/>
      <c r="D49" s="339"/>
      <c r="E49" s="339"/>
      <c r="F49" s="340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2"/>
      <c r="R49" s="358"/>
      <c r="S49" s="359"/>
      <c r="T49" s="359"/>
      <c r="U49" s="359"/>
      <c r="V49" s="359"/>
      <c r="W49" s="360"/>
      <c r="X49" s="336"/>
      <c r="Y49" s="337"/>
      <c r="Z49" s="337"/>
      <c r="AA49" s="337"/>
      <c r="AB49" s="337"/>
      <c r="AC49" s="338"/>
    </row>
    <row r="50" spans="1:29" ht="18.75" customHeight="1">
      <c r="A50" s="324" t="s">
        <v>303</v>
      </c>
      <c r="B50" s="335"/>
      <c r="C50" s="336"/>
      <c r="D50" s="339"/>
      <c r="E50" s="339"/>
      <c r="F50" s="340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2"/>
      <c r="R50" s="361"/>
      <c r="S50" s="362"/>
      <c r="T50" s="362"/>
      <c r="U50" s="362"/>
      <c r="V50" s="362"/>
      <c r="W50" s="363"/>
      <c r="X50" s="336"/>
      <c r="Y50" s="337"/>
      <c r="Z50" s="337"/>
      <c r="AA50" s="337"/>
      <c r="AB50" s="337"/>
      <c r="AC50" s="338"/>
    </row>
    <row r="51" spans="1:29" ht="10.5" customHeight="1">
      <c r="A51" s="308" t="s">
        <v>304</v>
      </c>
      <c r="B51" s="308"/>
      <c r="C51" s="308"/>
      <c r="D51" s="308"/>
      <c r="E51" s="308"/>
      <c r="F51" s="343" t="s">
        <v>356</v>
      </c>
      <c r="G51" s="344"/>
      <c r="H51" s="344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6"/>
      <c r="Y51" s="346"/>
      <c r="Z51" s="346"/>
      <c r="AA51" s="346"/>
      <c r="AB51" s="346"/>
      <c r="AC51" s="347"/>
    </row>
    <row r="52" spans="1:29" ht="10.5" customHeight="1">
      <c r="A52" s="323" t="s">
        <v>368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</row>
    <row r="53" spans="1:29" ht="10.5" customHeight="1">
      <c r="A53" s="324" t="s">
        <v>369</v>
      </c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6"/>
      <c r="M53" s="329"/>
      <c r="N53" s="330"/>
      <c r="O53" s="330"/>
      <c r="P53" s="330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2"/>
    </row>
    <row r="54" spans="1:29" ht="10.5" customHeight="1">
      <c r="A54" s="308" t="s">
        <v>370</v>
      </c>
      <c r="B54" s="308"/>
      <c r="C54" s="308"/>
      <c r="D54" s="308"/>
      <c r="E54" s="308"/>
      <c r="F54" s="308"/>
      <c r="G54" s="308"/>
      <c r="H54" s="308"/>
      <c r="I54" s="327" t="s">
        <v>305</v>
      </c>
      <c r="J54" s="327"/>
      <c r="K54" s="327"/>
      <c r="L54" s="327"/>
      <c r="M54" s="328"/>
      <c r="N54" s="328"/>
      <c r="O54" s="328"/>
      <c r="P54" s="328"/>
      <c r="Q54" s="328"/>
      <c r="R54" s="328"/>
      <c r="S54" s="327" t="s">
        <v>306</v>
      </c>
      <c r="T54" s="327"/>
      <c r="U54" s="327"/>
      <c r="V54" s="327"/>
      <c r="W54" s="328"/>
      <c r="X54" s="328"/>
      <c r="Y54" s="328"/>
      <c r="Z54" s="328"/>
      <c r="AA54" s="328"/>
      <c r="AB54" s="328"/>
      <c r="AC54" s="328"/>
    </row>
    <row r="55" spans="1:29" ht="10.5" customHeight="1">
      <c r="A55" s="308" t="s">
        <v>371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</row>
    <row r="56" spans="1:29" ht="10.5" customHeight="1">
      <c r="A56" s="308" t="s">
        <v>372</v>
      </c>
      <c r="B56" s="308"/>
      <c r="C56" s="308"/>
      <c r="D56" s="308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09"/>
    </row>
    <row r="57" spans="1:29" ht="10.5" customHeight="1">
      <c r="A57" s="308" t="s">
        <v>307</v>
      </c>
      <c r="B57" s="308"/>
      <c r="C57" s="308"/>
      <c r="D57" s="308"/>
      <c r="E57" s="309"/>
      <c r="F57" s="309"/>
      <c r="G57" s="309"/>
      <c r="H57" s="310" t="s">
        <v>308</v>
      </c>
      <c r="I57" s="310"/>
      <c r="J57" s="310"/>
      <c r="K57" s="310"/>
      <c r="L57" s="310"/>
      <c r="M57" s="311"/>
      <c r="N57" s="311"/>
      <c r="O57" s="310"/>
      <c r="P57" s="310"/>
      <c r="Q57" s="310"/>
      <c r="R57" s="310"/>
      <c r="S57" s="310"/>
      <c r="T57" s="312" t="s">
        <v>309</v>
      </c>
      <c r="U57" s="312"/>
      <c r="V57" s="312"/>
      <c r="W57" s="312"/>
      <c r="X57" s="312"/>
      <c r="Y57" s="312"/>
      <c r="Z57" s="312"/>
      <c r="AA57" s="312"/>
      <c r="AB57" s="312"/>
      <c r="AC57" s="312"/>
    </row>
    <row r="58" spans="1:29" ht="10.5" customHeight="1">
      <c r="A58" s="313" t="s">
        <v>363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5" t="s">
        <v>310</v>
      </c>
      <c r="L58" s="316"/>
      <c r="M58" s="316"/>
      <c r="N58" s="316"/>
      <c r="O58" s="316"/>
      <c r="P58" s="316"/>
      <c r="Q58" s="316"/>
      <c r="R58" s="316"/>
      <c r="S58" s="316"/>
      <c r="T58" s="316"/>
      <c r="U58" s="315" t="s">
        <v>364</v>
      </c>
      <c r="V58" s="316"/>
      <c r="W58" s="316"/>
      <c r="X58" s="316"/>
      <c r="Y58" s="316"/>
      <c r="Z58" s="316"/>
      <c r="AA58" s="316"/>
      <c r="AB58" s="316"/>
      <c r="AC58" s="317"/>
    </row>
    <row r="59" spans="1:29" ht="10.5" customHeight="1">
      <c r="A59" s="318" t="s">
        <v>365</v>
      </c>
      <c r="B59" s="319"/>
      <c r="C59" s="319"/>
      <c r="D59" s="319"/>
      <c r="E59" s="319"/>
      <c r="F59" s="319"/>
      <c r="G59" s="319"/>
      <c r="H59" s="319"/>
      <c r="I59" s="319"/>
      <c r="J59" s="319"/>
      <c r="K59" s="320" t="s">
        <v>366</v>
      </c>
      <c r="L59" s="321"/>
      <c r="M59" s="321"/>
      <c r="N59" s="321"/>
      <c r="O59" s="321"/>
      <c r="P59" s="321"/>
      <c r="Q59" s="321"/>
      <c r="R59" s="321"/>
      <c r="S59" s="321"/>
      <c r="T59" s="321"/>
      <c r="U59" s="320" t="s">
        <v>367</v>
      </c>
      <c r="V59" s="321"/>
      <c r="W59" s="321"/>
      <c r="X59" s="321"/>
      <c r="Y59" s="321"/>
      <c r="Z59" s="321"/>
      <c r="AA59" s="321"/>
      <c r="AB59" s="321"/>
      <c r="AC59" s="322"/>
    </row>
    <row r="60" spans="1:29" ht="9" customHeight="1">
      <c r="A60" s="276"/>
      <c r="B60" s="306" t="s">
        <v>311</v>
      </c>
      <c r="C60" s="307"/>
      <c r="D60" s="307"/>
      <c r="E60" s="307"/>
      <c r="F60" s="277"/>
      <c r="G60" s="277"/>
      <c r="H60" s="278" t="s">
        <v>248</v>
      </c>
      <c r="I60" s="277"/>
      <c r="J60" s="277"/>
      <c r="K60" s="276"/>
      <c r="L60" s="277"/>
      <c r="M60" s="277"/>
      <c r="N60" s="306" t="s">
        <v>311</v>
      </c>
      <c r="O60" s="307"/>
      <c r="P60" s="307"/>
      <c r="Q60" s="277"/>
      <c r="R60" s="278" t="s">
        <v>248</v>
      </c>
      <c r="S60" s="277"/>
      <c r="T60" s="277"/>
      <c r="U60" s="276"/>
      <c r="V60" s="277"/>
      <c r="W60" s="277"/>
      <c r="X60" s="306" t="s">
        <v>311</v>
      </c>
      <c r="Y60" s="307"/>
      <c r="Z60" s="307"/>
      <c r="AA60" s="277"/>
      <c r="AB60" s="278" t="s">
        <v>248</v>
      </c>
      <c r="AC60" s="279"/>
    </row>
    <row r="61" spans="1:29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</row>
    <row r="62" spans="1:29">
      <c r="A62" s="202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</row>
    <row r="63" spans="1:29">
      <c r="A63" s="202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</row>
    <row r="64" spans="1:29">
      <c r="A64" s="202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</row>
    <row r="65" spans="1:29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</row>
    <row r="66" spans="1:29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</row>
    <row r="67" spans="1:29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</row>
    <row r="68" spans="1:29">
      <c r="A68" s="202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</row>
    <row r="69" spans="1:29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</row>
    <row r="70" spans="1:29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02"/>
      <c r="AC70" s="202"/>
    </row>
    <row r="71" spans="1:29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</row>
    <row r="72" spans="1:29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</row>
    <row r="73" spans="1:29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</row>
    <row r="74" spans="1:29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</row>
    <row r="75" spans="1:29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</row>
    <row r="76" spans="1:29">
      <c r="A76" s="202"/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</row>
    <row r="77" spans="1:29">
      <c r="A77" s="202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</row>
    <row r="78" spans="1:29">
      <c r="A78" s="202"/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</row>
    <row r="79" spans="1:29">
      <c r="A79" s="202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</row>
    <row r="80" spans="1:29">
      <c r="A80" s="202"/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</row>
    <row r="81" spans="1:29">
      <c r="A81" s="202"/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</row>
    <row r="82" spans="1:29">
      <c r="A82" s="202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  <c r="AA82" s="202"/>
      <c r="AB82" s="202"/>
      <c r="AC82" s="202"/>
    </row>
    <row r="83" spans="1:29">
      <c r="A83" s="202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  <c r="AA83" s="202"/>
      <c r="AB83" s="202"/>
      <c r="AC83" s="202"/>
    </row>
    <row r="84" spans="1:29">
      <c r="A84" s="202"/>
      <c r="B84" s="202"/>
      <c r="C84" s="202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</row>
    <row r="85" spans="1:29">
      <c r="A85" s="202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</row>
    <row r="86" spans="1:29">
      <c r="A86" s="202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  <c r="AA86" s="202"/>
      <c r="AB86" s="202"/>
      <c r="AC86" s="202"/>
    </row>
    <row r="87" spans="1:29">
      <c r="A87" s="202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  <c r="AA87" s="202"/>
      <c r="AB87" s="202"/>
      <c r="AC87" s="202"/>
    </row>
    <row r="88" spans="1:29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</row>
    <row r="89" spans="1:29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</row>
    <row r="90" spans="1:29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202"/>
    </row>
    <row r="91" spans="1:29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</row>
    <row r="92" spans="1:29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</row>
    <row r="93" spans="1:29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</row>
    <row r="94" spans="1:29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</row>
    <row r="95" spans="1:29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</row>
    <row r="96" spans="1:29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202"/>
    </row>
    <row r="97" spans="1:29">
      <c r="A97" s="202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</row>
    <row r="98" spans="1:29">
      <c r="A98" s="202"/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</row>
    <row r="99" spans="1:29">
      <c r="A99" s="202"/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</row>
    <row r="100" spans="1:29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  <c r="AA100" s="202"/>
      <c r="AB100" s="202"/>
      <c r="AC100" s="202"/>
    </row>
    <row r="101" spans="1:29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</row>
    <row r="102" spans="1:29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</row>
    <row r="103" spans="1:29">
      <c r="A103" s="202"/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</row>
    <row r="104" spans="1:29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</row>
    <row r="105" spans="1:29">
      <c r="A105" s="202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</row>
    <row r="106" spans="1:29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</row>
    <row r="107" spans="1:29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</row>
    <row r="108" spans="1:29">
      <c r="A108" s="202"/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</row>
    <row r="109" spans="1:29">
      <c r="A109" s="202"/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</row>
    <row r="110" spans="1:29">
      <c r="A110" s="202"/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</row>
    <row r="111" spans="1:29">
      <c r="A111" s="202"/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</row>
    <row r="112" spans="1:29">
      <c r="A112" s="202"/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</row>
    <row r="113" spans="1:29">
      <c r="A113" s="202"/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</row>
    <row r="114" spans="1:29">
      <c r="A114" s="202"/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</row>
    <row r="115" spans="1:29">
      <c r="A115" s="202"/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</row>
    <row r="116" spans="1:29">
      <c r="A116" s="202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</row>
    <row r="117" spans="1:29">
      <c r="A117" s="202"/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</row>
    <row r="118" spans="1:29">
      <c r="A118" s="202"/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</row>
    <row r="119" spans="1:29">
      <c r="A119" s="202"/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</row>
    <row r="120" spans="1:29">
      <c r="A120" s="202"/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</row>
    <row r="121" spans="1:29">
      <c r="A121" s="202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</row>
    <row r="122" spans="1:29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</row>
    <row r="123" spans="1:29">
      <c r="A123" s="202"/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</row>
    <row r="124" spans="1:29">
      <c r="A124" s="202"/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</row>
    <row r="125" spans="1:29">
      <c r="A125" s="202"/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</row>
    <row r="126" spans="1:29">
      <c r="A126" s="202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</row>
    <row r="127" spans="1:29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</row>
    <row r="128" spans="1:29">
      <c r="A128" s="202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</row>
    <row r="129" spans="1:29">
      <c r="A129" s="202"/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  <c r="AA129" s="202"/>
      <c r="AB129" s="202"/>
      <c r="AC129" s="202"/>
    </row>
    <row r="130" spans="1:29">
      <c r="A130" s="202"/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  <c r="AA130" s="202"/>
      <c r="AB130" s="202"/>
      <c r="AC130" s="202"/>
    </row>
    <row r="131" spans="1:29">
      <c r="A131" s="202"/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</row>
    <row r="132" spans="1:29">
      <c r="A132" s="202"/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</row>
    <row r="133" spans="1:29">
      <c r="A133" s="202"/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  <c r="AA133" s="202"/>
      <c r="AB133" s="202"/>
      <c r="AC133" s="202"/>
    </row>
    <row r="134" spans="1:29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  <c r="AA134" s="202"/>
      <c r="AB134" s="202"/>
      <c r="AC134" s="202"/>
    </row>
    <row r="135" spans="1:29">
      <c r="A135" s="202"/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  <c r="AA135" s="202"/>
      <c r="AB135" s="202"/>
      <c r="AC135" s="202"/>
    </row>
    <row r="136" spans="1:29">
      <c r="A136" s="202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</row>
    <row r="137" spans="1:29">
      <c r="A137" s="202"/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  <c r="AA137" s="202"/>
      <c r="AB137" s="202"/>
      <c r="AC137" s="202"/>
    </row>
    <row r="138" spans="1:29">
      <c r="A138" s="202"/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</row>
    <row r="139" spans="1:29">
      <c r="A139" s="202"/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</row>
    <row r="140" spans="1:29">
      <c r="A140" s="202"/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  <c r="AA140" s="202"/>
      <c r="AB140" s="202"/>
      <c r="AC140" s="202"/>
    </row>
    <row r="141" spans="1:29">
      <c r="A141" s="202"/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  <c r="AA141" s="202"/>
      <c r="AB141" s="202"/>
      <c r="AC141" s="202"/>
    </row>
    <row r="142" spans="1:29">
      <c r="A142" s="202"/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</row>
    <row r="143" spans="1:29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</row>
  </sheetData>
  <sheetProtection selectLockedCells="1"/>
  <mergeCells count="141">
    <mergeCell ref="A18:H18"/>
    <mergeCell ref="A19:H20"/>
    <mergeCell ref="A21:H22"/>
    <mergeCell ref="I21:S22"/>
    <mergeCell ref="T21:AC21"/>
    <mergeCell ref="I18:AC20"/>
    <mergeCell ref="Y11:AC11"/>
    <mergeCell ref="A12:H13"/>
    <mergeCell ref="Y12:AC12"/>
    <mergeCell ref="Y13:AC13"/>
    <mergeCell ref="A14:H15"/>
    <mergeCell ref="I14:S15"/>
    <mergeCell ref="T14:AC14"/>
    <mergeCell ref="A16:H16"/>
    <mergeCell ref="I16:AC16"/>
    <mergeCell ref="Q2:AC2"/>
    <mergeCell ref="A1:P1"/>
    <mergeCell ref="Q1:AC1"/>
    <mergeCell ref="A2:P2"/>
    <mergeCell ref="Q3:AC3"/>
    <mergeCell ref="Q4:S4"/>
    <mergeCell ref="W4:Z4"/>
    <mergeCell ref="AA4:AC4"/>
    <mergeCell ref="A3:P4"/>
    <mergeCell ref="A23:AC23"/>
    <mergeCell ref="A5:AC5"/>
    <mergeCell ref="A6:AC6"/>
    <mergeCell ref="A7:AC7"/>
    <mergeCell ref="A8:E8"/>
    <mergeCell ref="W8:AC8"/>
    <mergeCell ref="A28:G29"/>
    <mergeCell ref="H28:AC29"/>
    <mergeCell ref="H27:AC27"/>
    <mergeCell ref="A27:G27"/>
    <mergeCell ref="A24:G26"/>
    <mergeCell ref="H24:P24"/>
    <mergeCell ref="Q24:V24"/>
    <mergeCell ref="W24:Z24"/>
    <mergeCell ref="AA24:AC24"/>
    <mergeCell ref="H25:P25"/>
    <mergeCell ref="Q25:V25"/>
    <mergeCell ref="W25:Z25"/>
    <mergeCell ref="AA25:AC25"/>
    <mergeCell ref="H26:L26"/>
    <mergeCell ref="A9:AC9"/>
    <mergeCell ref="A10:AC10"/>
    <mergeCell ref="A11:H11"/>
    <mergeCell ref="I11:X13"/>
    <mergeCell ref="A30:AC30"/>
    <mergeCell ref="A31:J31"/>
    <mergeCell ref="K31:AC31"/>
    <mergeCell ref="A32:J32"/>
    <mergeCell ref="K32:L32"/>
    <mergeCell ref="M32:AA32"/>
    <mergeCell ref="AB32:AC32"/>
    <mergeCell ref="A33:J33"/>
    <mergeCell ref="K33:L33"/>
    <mergeCell ref="M33:AA33"/>
    <mergeCell ref="AB33:AC33"/>
    <mergeCell ref="A34:J34"/>
    <mergeCell ref="K34:L34"/>
    <mergeCell ref="M35:AA35"/>
    <mergeCell ref="AB35:AC35"/>
    <mergeCell ref="A35:J35"/>
    <mergeCell ref="K35:L35"/>
    <mergeCell ref="A36:J36"/>
    <mergeCell ref="K36:L36"/>
    <mergeCell ref="M36:AA36"/>
    <mergeCell ref="AB36:AC36"/>
    <mergeCell ref="M34:AA34"/>
    <mergeCell ref="AB34:AC34"/>
    <mergeCell ref="A37:J37"/>
    <mergeCell ref="K37:L37"/>
    <mergeCell ref="A38:J38"/>
    <mergeCell ref="K38:L38"/>
    <mergeCell ref="A42:Q42"/>
    <mergeCell ref="R42:AC42"/>
    <mergeCell ref="M37:AA38"/>
    <mergeCell ref="AB37:AC38"/>
    <mergeCell ref="A45:E45"/>
    <mergeCell ref="F45:J45"/>
    <mergeCell ref="K45:Q45"/>
    <mergeCell ref="R43:W43"/>
    <mergeCell ref="R44:W44"/>
    <mergeCell ref="X43:AC43"/>
    <mergeCell ref="X44:AC44"/>
    <mergeCell ref="M39:V39"/>
    <mergeCell ref="W39:AC39"/>
    <mergeCell ref="M40:V40"/>
    <mergeCell ref="W40:AC40"/>
    <mergeCell ref="M41:V41"/>
    <mergeCell ref="W41:AC41"/>
    <mergeCell ref="A46:O46"/>
    <mergeCell ref="P46:Q46"/>
    <mergeCell ref="A43:Q43"/>
    <mergeCell ref="A44:E44"/>
    <mergeCell ref="F44:J44"/>
    <mergeCell ref="K44:Q44"/>
    <mergeCell ref="A50:B50"/>
    <mergeCell ref="X50:AC50"/>
    <mergeCell ref="A51:E51"/>
    <mergeCell ref="C50:F50"/>
    <mergeCell ref="G50:Q50"/>
    <mergeCell ref="F51:AC51"/>
    <mergeCell ref="A47:Q47"/>
    <mergeCell ref="R47:W47"/>
    <mergeCell ref="X47:AC47"/>
    <mergeCell ref="A48:B48"/>
    <mergeCell ref="R48:W50"/>
    <mergeCell ref="X48:AC48"/>
    <mergeCell ref="A49:B49"/>
    <mergeCell ref="X49:AC49"/>
    <mergeCell ref="C48:F48"/>
    <mergeCell ref="G48:Q48"/>
    <mergeCell ref="C49:F49"/>
    <mergeCell ref="G49:Q49"/>
    <mergeCell ref="A55:AC55"/>
    <mergeCell ref="A56:D56"/>
    <mergeCell ref="E56:AC56"/>
    <mergeCell ref="A52:AC52"/>
    <mergeCell ref="A53:L53"/>
    <mergeCell ref="A54:H54"/>
    <mergeCell ref="I54:L54"/>
    <mergeCell ref="M54:R54"/>
    <mergeCell ref="S54:V54"/>
    <mergeCell ref="W54:AC54"/>
    <mergeCell ref="M53:P53"/>
    <mergeCell ref="Q53:AC53"/>
    <mergeCell ref="X60:Z60"/>
    <mergeCell ref="A57:D57"/>
    <mergeCell ref="E57:G57"/>
    <mergeCell ref="H57:S57"/>
    <mergeCell ref="T57:AC57"/>
    <mergeCell ref="A58:J58"/>
    <mergeCell ref="K58:T58"/>
    <mergeCell ref="U58:AC58"/>
    <mergeCell ref="A59:J59"/>
    <mergeCell ref="K59:T59"/>
    <mergeCell ref="U59:AC59"/>
    <mergeCell ref="B60:E60"/>
    <mergeCell ref="N60:P60"/>
  </mergeCell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Коефіцієнти</vt:lpstr>
      <vt:lpstr>Територія ДС НТ</vt:lpstr>
      <vt:lpstr>ОСНОВНА ЧАСТИНА</vt:lpstr>
      <vt:lpstr>'Територія ДС НТ'!Заголовки_для_печати</vt:lpstr>
      <vt:lpstr>'Територія ДС 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YSichka</dc:creator>
  <cp:lastModifiedBy>idavidova</cp:lastModifiedBy>
  <cp:lastPrinted>2015-04-02T10:58:14Z</cp:lastPrinted>
  <dcterms:created xsi:type="dcterms:W3CDTF">2008-08-06T11:08:53Z</dcterms:created>
  <dcterms:modified xsi:type="dcterms:W3CDTF">2018-09-20T08:12:17Z</dcterms:modified>
</cp:coreProperties>
</file>